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autoCompressPictures="0" defaultThemeVersion="124226"/>
  <bookViews>
    <workbookView xWindow="0" yWindow="0" windowWidth="19440" windowHeight="9030"/>
  </bookViews>
  <sheets>
    <sheet name="виконання ІС" sheetId="29" r:id="rId1"/>
    <sheet name="показники ІС" sheetId="31" r:id="rId2"/>
    <sheet name="індикатори" sheetId="33" r:id="rId3"/>
  </sheets>
  <calcPr calcId="125725"/>
</workbook>
</file>

<file path=xl/calcChain.xml><?xml version="1.0" encoding="utf-8"?>
<calcChain xmlns="http://schemas.openxmlformats.org/spreadsheetml/2006/main">
  <c r="G107" i="31"/>
  <c r="H107" s="1"/>
  <c r="G97"/>
  <c r="G141"/>
  <c r="H141" s="1"/>
  <c r="H97"/>
  <c r="F9" i="33"/>
  <c r="F10"/>
  <c r="F11"/>
  <c r="C15"/>
  <c r="F12" i="31"/>
  <c r="G12"/>
  <c r="G14" s="1"/>
  <c r="H14" s="1"/>
  <c r="H13"/>
  <c r="G15"/>
  <c r="H15"/>
  <c r="H17"/>
  <c r="G19"/>
  <c r="H19"/>
  <c r="G20"/>
  <c r="G22"/>
  <c r="H21"/>
  <c r="G23"/>
  <c r="H23"/>
  <c r="G25"/>
  <c r="F26"/>
  <c r="H27"/>
  <c r="G28"/>
  <c r="H28"/>
  <c r="H30"/>
  <c r="G32"/>
  <c r="H32"/>
  <c r="F33"/>
  <c r="H34"/>
  <c r="F36"/>
  <c r="G36"/>
  <c r="H36"/>
  <c r="H38"/>
  <c r="G40"/>
  <c r="H40"/>
  <c r="F41"/>
  <c r="H44"/>
  <c r="H45"/>
  <c r="H46"/>
  <c r="H48"/>
  <c r="H49"/>
  <c r="H50"/>
  <c r="H51"/>
  <c r="G53"/>
  <c r="H53"/>
  <c r="H55"/>
  <c r="H56"/>
  <c r="H58"/>
  <c r="H59"/>
  <c r="G60"/>
  <c r="H61"/>
  <c r="G63"/>
  <c r="H63"/>
  <c r="H66"/>
  <c r="H67"/>
  <c r="G69"/>
  <c r="H69"/>
  <c r="G70"/>
  <c r="H70"/>
  <c r="H71"/>
  <c r="H74"/>
  <c r="G76"/>
  <c r="H76"/>
  <c r="H78"/>
  <c r="H82"/>
  <c r="H84"/>
  <c r="H86"/>
  <c r="H88"/>
  <c r="G90"/>
  <c r="H92"/>
  <c r="F93"/>
  <c r="G93"/>
  <c r="H93" s="1"/>
  <c r="H94"/>
  <c r="H95"/>
  <c r="H98"/>
  <c r="G99"/>
  <c r="H99"/>
  <c r="H100"/>
  <c r="G101"/>
  <c r="H101"/>
  <c r="H102"/>
  <c r="H103"/>
  <c r="F104"/>
  <c r="H105"/>
  <c r="H108"/>
  <c r="G109"/>
  <c r="H109"/>
  <c r="G110"/>
  <c r="H111"/>
  <c r="G113"/>
  <c r="H113"/>
  <c r="H115"/>
  <c r="G118"/>
  <c r="H118"/>
  <c r="G119"/>
  <c r="H119"/>
  <c r="H121"/>
  <c r="H122"/>
  <c r="H123"/>
  <c r="H124"/>
  <c r="H125"/>
  <c r="H127"/>
  <c r="F128"/>
  <c r="H129"/>
  <c r="H130"/>
  <c r="H131"/>
  <c r="H134"/>
  <c r="H135"/>
  <c r="G137"/>
  <c r="H137"/>
  <c r="H138"/>
  <c r="H139"/>
  <c r="H140"/>
  <c r="F142"/>
  <c r="G142"/>
  <c r="H143"/>
  <c r="H144"/>
  <c r="H145"/>
  <c r="H146"/>
  <c r="H147"/>
  <c r="H148"/>
  <c r="H149"/>
  <c r="H150"/>
  <c r="H152"/>
  <c r="G154"/>
  <c r="H154"/>
  <c r="F155"/>
  <c r="H156"/>
  <c r="G158"/>
  <c r="H158"/>
  <c r="H161"/>
  <c r="H162"/>
  <c r="H163"/>
  <c r="H164"/>
  <c r="H165"/>
  <c r="G166"/>
  <c r="H166"/>
  <c r="G168"/>
  <c r="H168"/>
  <c r="H170"/>
  <c r="H171"/>
  <c r="F172"/>
  <c r="G172"/>
  <c r="H173"/>
  <c r="H174"/>
  <c r="H175"/>
  <c r="H177"/>
  <c r="G178"/>
  <c r="H178"/>
  <c r="H179"/>
  <c r="C182"/>
  <c r="C183"/>
  <c r="F11" i="29"/>
  <c r="E11"/>
  <c r="F12"/>
  <c r="H12"/>
  <c r="H11"/>
  <c r="J12"/>
  <c r="K12"/>
  <c r="L12"/>
  <c r="E13"/>
  <c r="I13"/>
  <c r="E14"/>
  <c r="F16" i="31"/>
  <c r="I14" i="29"/>
  <c r="G16" i="31"/>
  <c r="E15" i="29"/>
  <c r="F20" i="31"/>
  <c r="H20"/>
  <c r="I15" i="29"/>
  <c r="E16"/>
  <c r="F24" i="31"/>
  <c r="I16" i="29"/>
  <c r="G24" i="31"/>
  <c r="L16" i="29"/>
  <c r="E17"/>
  <c r="I17"/>
  <c r="G26" i="31"/>
  <c r="H26"/>
  <c r="E18" i="29"/>
  <c r="F29" i="31"/>
  <c r="I18" i="29"/>
  <c r="G29" i="31"/>
  <c r="G31" s="1"/>
  <c r="H31" s="1"/>
  <c r="E19" i="29"/>
  <c r="I19"/>
  <c r="G33" i="31"/>
  <c r="G35" s="1"/>
  <c r="H35" s="1"/>
  <c r="E20" i="29"/>
  <c r="F37" i="31"/>
  <c r="I20" i="29"/>
  <c r="G37" i="31"/>
  <c r="F21" i="29"/>
  <c r="E21"/>
  <c r="K21"/>
  <c r="L21"/>
  <c r="E22"/>
  <c r="I22"/>
  <c r="E23"/>
  <c r="I23"/>
  <c r="E24"/>
  <c r="I24"/>
  <c r="E25"/>
  <c r="F47" i="31"/>
  <c r="I25" i="29"/>
  <c r="G47" i="31"/>
  <c r="G52" s="1"/>
  <c r="H52" s="1"/>
  <c r="J25" i="29"/>
  <c r="J21"/>
  <c r="J11"/>
  <c r="L25"/>
  <c r="F26"/>
  <c r="E26"/>
  <c r="F54" i="31"/>
  <c r="J26" i="29"/>
  <c r="K26"/>
  <c r="K11" s="1"/>
  <c r="L26"/>
  <c r="E27"/>
  <c r="I27"/>
  <c r="E28"/>
  <c r="I28"/>
  <c r="I26" s="1"/>
  <c r="E29"/>
  <c r="I29"/>
  <c r="E30"/>
  <c r="F60" i="31"/>
  <c r="I30" i="29"/>
  <c r="E31"/>
  <c r="E32"/>
  <c r="F65" i="31"/>
  <c r="I32" i="29"/>
  <c r="G65" i="31"/>
  <c r="G68" s="1"/>
  <c r="H68" s="1"/>
  <c r="J32" i="29"/>
  <c r="L32"/>
  <c r="E33"/>
  <c r="I33"/>
  <c r="F34"/>
  <c r="F31"/>
  <c r="H34"/>
  <c r="H31"/>
  <c r="I34"/>
  <c r="G73" i="31"/>
  <c r="G75" s="1"/>
  <c r="H75" s="1"/>
  <c r="J34" i="29"/>
  <c r="K34"/>
  <c r="K31"/>
  <c r="L34"/>
  <c r="E35"/>
  <c r="I35"/>
  <c r="E36"/>
  <c r="I36"/>
  <c r="E37"/>
  <c r="I37"/>
  <c r="E38"/>
  <c r="F77" i="31"/>
  <c r="I38" i="29"/>
  <c r="G77" i="31"/>
  <c r="H77" s="1"/>
  <c r="E39" i="29"/>
  <c r="F80" i="31"/>
  <c r="F39" i="29"/>
  <c r="H39"/>
  <c r="J39"/>
  <c r="J31"/>
  <c r="K39"/>
  <c r="L39"/>
  <c r="E40"/>
  <c r="F81" i="31"/>
  <c r="I40" i="29"/>
  <c r="G81" i="31"/>
  <c r="G83" s="1"/>
  <c r="H83" s="1"/>
  <c r="E41" i="29"/>
  <c r="F85" i="31"/>
  <c r="I41" i="29"/>
  <c r="G85" i="31"/>
  <c r="G87" s="1"/>
  <c r="H87" s="1"/>
  <c r="F43" i="29"/>
  <c r="H43"/>
  <c r="H42"/>
  <c r="J43"/>
  <c r="K43"/>
  <c r="K42"/>
  <c r="L43"/>
  <c r="E44"/>
  <c r="I44"/>
  <c r="I43"/>
  <c r="E45"/>
  <c r="I45"/>
  <c r="E46"/>
  <c r="I46"/>
  <c r="E47"/>
  <c r="I47"/>
  <c r="G104" i="31"/>
  <c r="L47" i="29"/>
  <c r="E48"/>
  <c r="I48"/>
  <c r="E49"/>
  <c r="F110" i="31"/>
  <c r="H110" s="1"/>
  <c r="I49" i="29"/>
  <c r="F50"/>
  <c r="E50"/>
  <c r="F114" i="31"/>
  <c r="J50" i="29"/>
  <c r="J42"/>
  <c r="K50"/>
  <c r="L50"/>
  <c r="E51"/>
  <c r="I51"/>
  <c r="E52"/>
  <c r="I52"/>
  <c r="E53"/>
  <c r="I53"/>
  <c r="E54"/>
  <c r="I54"/>
  <c r="E55"/>
  <c r="I55"/>
  <c r="F56"/>
  <c r="E56"/>
  <c r="F120" i="31"/>
  <c r="J56" i="29"/>
  <c r="K56"/>
  <c r="L56"/>
  <c r="E57"/>
  <c r="I57"/>
  <c r="E58"/>
  <c r="I58"/>
  <c r="E59"/>
  <c r="I59"/>
  <c r="E60"/>
  <c r="I60"/>
  <c r="E61"/>
  <c r="I61"/>
  <c r="I56" s="1"/>
  <c r="E62"/>
  <c r="I62"/>
  <c r="G128" i="31"/>
  <c r="E63" i="29"/>
  <c r="H63"/>
  <c r="E64"/>
  <c r="F133" i="31"/>
  <c r="F64" i="29"/>
  <c r="F63"/>
  <c r="H64"/>
  <c r="J64"/>
  <c r="J63"/>
  <c r="K64"/>
  <c r="K63"/>
  <c r="E65"/>
  <c r="L65"/>
  <c r="L64"/>
  <c r="E66"/>
  <c r="I66"/>
  <c r="E67"/>
  <c r="I67"/>
  <c r="F68"/>
  <c r="E68"/>
  <c r="I68"/>
  <c r="J68"/>
  <c r="K68"/>
  <c r="L68"/>
  <c r="E69"/>
  <c r="I69"/>
  <c r="E70"/>
  <c r="I70"/>
  <c r="E71"/>
  <c r="F151" i="31"/>
  <c r="H151" s="1"/>
  <c r="I71" i="29"/>
  <c r="G151" i="31"/>
  <c r="E72" i="29"/>
  <c r="L72"/>
  <c r="I72"/>
  <c r="G155" i="31"/>
  <c r="J73" i="29"/>
  <c r="K73"/>
  <c r="F74"/>
  <c r="J74"/>
  <c r="K74"/>
  <c r="L74"/>
  <c r="L73"/>
  <c r="E75"/>
  <c r="I75"/>
  <c r="E76"/>
  <c r="I76"/>
  <c r="I74"/>
  <c r="E77"/>
  <c r="I77"/>
  <c r="E78"/>
  <c r="I78"/>
  <c r="E79"/>
  <c r="I79"/>
  <c r="E80"/>
  <c r="F169" i="31"/>
  <c r="I80" i="29"/>
  <c r="G169" i="31"/>
  <c r="H169"/>
  <c r="E81" i="29"/>
  <c r="I81"/>
  <c r="G86"/>
  <c r="H33" i="31"/>
  <c r="H22"/>
  <c r="J86" i="29"/>
  <c r="I50"/>
  <c r="G114" i="31"/>
  <c r="H114" s="1"/>
  <c r="G157"/>
  <c r="H157"/>
  <c r="H155"/>
  <c r="I73" i="29"/>
  <c r="G160" i="31"/>
  <c r="G153"/>
  <c r="H153"/>
  <c r="G62"/>
  <c r="H62"/>
  <c r="H60"/>
  <c r="H47"/>
  <c r="H128"/>
  <c r="F42" i="29"/>
  <c r="E42"/>
  <c r="H81" i="31"/>
  <c r="H16"/>
  <c r="G18"/>
  <c r="L11" i="29"/>
  <c r="E12"/>
  <c r="G96" i="31"/>
  <c r="H96" s="1"/>
  <c r="H37"/>
  <c r="H65"/>
  <c r="H29"/>
  <c r="L63" i="29"/>
  <c r="I65"/>
  <c r="I64"/>
  <c r="H104" i="31"/>
  <c r="L42" i="29"/>
  <c r="E43"/>
  <c r="F90" i="31"/>
  <c r="H90" s="1"/>
  <c r="I39" i="29"/>
  <c r="G80" i="31"/>
  <c r="H80" s="1"/>
  <c r="L31" i="29"/>
  <c r="I21"/>
  <c r="G41" i="31"/>
  <c r="H41" s="1"/>
  <c r="G112"/>
  <c r="H112"/>
  <c r="G106"/>
  <c r="H106" s="1"/>
  <c r="H85"/>
  <c r="H12"/>
  <c r="F73" i="29"/>
  <c r="E74"/>
  <c r="F160" i="31"/>
  <c r="H86" i="29"/>
  <c r="I12"/>
  <c r="H172" i="31"/>
  <c r="H142"/>
  <c r="G39"/>
  <c r="H39" s="1"/>
  <c r="E34" i="29"/>
  <c r="F73" i="31"/>
  <c r="H73"/>
  <c r="G117"/>
  <c r="H117" s="1"/>
  <c r="L86" i="29"/>
  <c r="G94"/>
  <c r="E73"/>
  <c r="E86"/>
  <c r="F86"/>
  <c r="D94"/>
  <c r="B94"/>
  <c r="I63"/>
  <c r="G133" i="31"/>
  <c r="G167"/>
  <c r="H167" s="1"/>
  <c r="H160"/>
  <c r="I31" i="29"/>
  <c r="H133" i="31"/>
  <c r="G136"/>
  <c r="H136" s="1"/>
  <c r="J94" i="29"/>
  <c r="I42" l="1"/>
  <c r="K86"/>
  <c r="F94" s="1"/>
  <c r="E94" s="1"/>
  <c r="I11"/>
  <c r="G126" i="31" l="1"/>
  <c r="H126" s="1"/>
  <c r="H120"/>
  <c r="I86" i="29"/>
  <c r="I94"/>
  <c r="H94" s="1"/>
  <c r="H54" i="31"/>
  <c r="G57"/>
  <c r="H57" s="1"/>
</calcChain>
</file>

<file path=xl/sharedStrings.xml><?xml version="1.0" encoding="utf-8"?>
<sst xmlns="http://schemas.openxmlformats.org/spreadsheetml/2006/main" count="1207" uniqueCount="539">
  <si>
    <t>Найменування заходу</t>
  </si>
  <si>
    <t>Виконавці</t>
  </si>
  <si>
    <t>Термін виконання</t>
  </si>
  <si>
    <t>Планові обсяги фінансування, тис. грн.</t>
  </si>
  <si>
    <t>Фактичні обсяги фінансування, тис. грн.</t>
  </si>
  <si>
    <t>Усього</t>
  </si>
  <si>
    <t>у тому числі:</t>
  </si>
  <si>
    <t>державний бюджет</t>
  </si>
  <si>
    <t xml:space="preserve">інші  джерела </t>
  </si>
  <si>
    <t>бюджет м.Києва</t>
  </si>
  <si>
    <t>Причини невиконання</t>
  </si>
  <si>
    <t>Інформація про виконання заходу</t>
  </si>
  <si>
    <t>усього</t>
  </si>
  <si>
    <t>загальний фонд</t>
  </si>
  <si>
    <t>спеціальний фонд</t>
  </si>
  <si>
    <t>ВСЬОГО ЗА ЗАВДАННЯМ:</t>
  </si>
  <si>
    <t>- запланованих</t>
  </si>
  <si>
    <t>- виконаних</t>
  </si>
  <si>
    <t>РАЗОМ ЗА ПРОГРАМОЮ:</t>
  </si>
  <si>
    <t>у тому числі кількість заходів:</t>
  </si>
  <si>
    <t>Група результативних показників</t>
  </si>
  <si>
    <t>Назва результативного показника</t>
  </si>
  <si>
    <t>Одиниця виміру</t>
  </si>
  <si>
    <t>план</t>
  </si>
  <si>
    <t xml:space="preserve">факт </t>
  </si>
  <si>
    <t>Відхилення фактичного значення від планового ("+" або "-")</t>
  </si>
  <si>
    <t>Причина невиконання</t>
  </si>
  <si>
    <t>Значення показника</t>
  </si>
  <si>
    <t>Назва заходу</t>
  </si>
  <si>
    <t>Значення індикатора програми</t>
  </si>
  <si>
    <t>Причина недосягнення індикаторів програми</t>
  </si>
  <si>
    <t xml:space="preserve"> Звіт  про виконання результативних показників </t>
  </si>
  <si>
    <t>Звіт про досягнення індикарорів програми</t>
  </si>
  <si>
    <t xml:space="preserve">І. Оперативна ціль Стратегії розвитку міста Києва: </t>
  </si>
  <si>
    <t xml:space="preserve">Завдання програми: </t>
  </si>
  <si>
    <t>Кількість досягнутих індикаторів програми</t>
  </si>
  <si>
    <t>Відсоток досягнутих індикаторів програми</t>
  </si>
  <si>
    <t>Кількість недосягнутих індикаторів програми</t>
  </si>
  <si>
    <t>2.   Найменування виконавця</t>
  </si>
  <si>
    <t xml:space="preserve">Завдання: </t>
  </si>
  <si>
    <t>3. Аналіз виконання програми за видатками в цілому</t>
  </si>
  <si>
    <t>Проведені видатки за звітний період</t>
  </si>
  <si>
    <t>Відхилення</t>
  </si>
  <si>
    <t>1.</t>
  </si>
  <si>
    <t>Запобігання поширення ВІЛ серед ключових груп населення</t>
  </si>
  <si>
    <t>1.1.</t>
  </si>
  <si>
    <t>Забезпечити групи підвищеного ризику щодо інфікування ВІЛ (далі – ГПР) комплексним пакетом послуг з метою запобігання нових випадків інфікування у т.ч. за стратегією «зменшення шкоди», зокрема:</t>
  </si>
  <si>
    <t>1.1.1.людей, які вживають ін'єкційні наркотики (далі - ЛВІН)</t>
  </si>
  <si>
    <t>НУО</t>
  </si>
  <si>
    <t>2017-2021</t>
  </si>
  <si>
    <t>1.1.2.чоловіків, які мають сексуальні стосунки із чоловіками (далі - ЧСЧ)</t>
  </si>
  <si>
    <t>1.1.3.робітників комерційного сексу (далі - РКС)</t>
  </si>
  <si>
    <t>1.2.</t>
  </si>
  <si>
    <t>Забезпечити створення та розповсюдження інформаційних матеріалів (соціальної реклами), спрямованої на запобігання поширення ВІЛ серед ГПР</t>
  </si>
  <si>
    <t xml:space="preserve">НУО </t>
  </si>
  <si>
    <t>1.3.</t>
  </si>
  <si>
    <t>Реалізація нової моделі профілактичної роботи з метою виходу на важкодоступні ГПР щодо інфікування ВІЛ</t>
  </si>
  <si>
    <t>2017-2020</t>
  </si>
  <si>
    <t>1.4.</t>
  </si>
  <si>
    <t>Забезпечити функціонування мобільних амбулаторій для посилення ефективності профілактичної роботи громадських організацій</t>
  </si>
  <si>
    <t>1.5.</t>
  </si>
  <si>
    <t>Здійснити пілотування (2017 р.) та впровадження (2018-2021 рр.) преконтактної профілактики (РгЕР) антиретровірусними препаратами серед ЧСЧ</t>
  </si>
  <si>
    <t>Департамент охорони здоров’я виконавчого органу Київської міської ради (Київської міської державної адміністрації) (далі - Департамент охорони здоров'я), НУО</t>
  </si>
  <si>
    <t>1.6.</t>
  </si>
  <si>
    <t>Забезпечити ефективну систему виявлення ВІЛ-інфекції серед статевих партнерів ЛЖВ та взяття під медичне спостереження у випадку виявлення ВІЛ-інфекції</t>
  </si>
  <si>
    <t>1.7.</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</si>
  <si>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</si>
  <si>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Департамент охорони здоров’я,  управління охорони здоров’я районних в місті Києві державних адміністрацій (далі - УОЗ)</t>
  </si>
  <si>
    <t>2017-2018</t>
  </si>
  <si>
    <t>1.7.1. Проведення ремонту приміщень з метою розширення мережі кабінетів ЗПТ на базі закладів охорони здоров’я у Подільському та Святошинському районах (2017 рік), Дарницькому, Деснянському, Дніпровському та Шевченківському районах (2018 рік)</t>
  </si>
  <si>
    <t xml:space="preserve">ТОВ «Делойт Консалтінг Оверсіз Проджектс» (USAID) </t>
  </si>
  <si>
    <t>1.7.2. Оснащення кабінетів ЗПТ на базі закладів охорони здоров’я ПМСД у Святошинському, Солом’янському та Шевченківському, Подільському, Дарницькому, Деснянському, Дніпровському, Печерському та Шевченківському районах (2018 рік)</t>
  </si>
  <si>
    <t>1.7.3. Реалізація ЗПТ на базі закладів охорони здоров’я, які надають первинну медико-санітарну допомогу</t>
  </si>
  <si>
    <t xml:space="preserve">Департамент охорони здоров’я, районні управління охорони здоров’я, ТОВ «Делойт Консалтінг Оверсіз Проджектс» (USAID) </t>
  </si>
  <si>
    <t>1.7.4. Забезпечення препаратами ЗПТ</t>
  </si>
  <si>
    <t>Департамент охорони здоров’я</t>
  </si>
  <si>
    <t>1.8.</t>
  </si>
  <si>
    <t>Забезпечити реалізацію заходів, спрямованих на досягнення елімінації передачі ВІЛ від матері до дитини</t>
  </si>
  <si>
    <t xml:space="preserve">1.8.1. Охоплення вагітних жінок обстеженням на ВІЛ-інфекцію </t>
  </si>
  <si>
    <t>1.8.2. Забезпечення адаптованими молочними сумішами для дітей першого року життя, народжених ВІЛ-інфікованими матерями</t>
  </si>
  <si>
    <t>1.8.3.Забезпечення антиретровірусними препаратами для профілактики передачі ВІЛ-інфекції від матері до дитини</t>
  </si>
  <si>
    <t>1.9.</t>
  </si>
  <si>
    <t>Розвиток людських ресурсів: Забезпечити навчання соціальних працівників та волонтерів НУО, психологів, інших співробітників, які залучені до надання комплексних профілактичних послуг ГПР щодо інфікування ВІЛ</t>
  </si>
  <si>
    <t xml:space="preserve">НУО, Київський міський центр соціальних служб для сім’ї, дітей і молоді </t>
  </si>
  <si>
    <t>2</t>
  </si>
  <si>
    <t>Охоплення населення послугами з тестування на ВІЛ (ПТВ), насамперед представників ГПР щодо інфікування ВІЛ</t>
  </si>
  <si>
    <t>2.1.</t>
  </si>
  <si>
    <t xml:space="preserve">Забезпечити доступне та ефективне тестування населення на ВІЛ у ЗОЗ та кабінетах Довіри за принципом "тестуй та реєструй" </t>
  </si>
  <si>
    <t xml:space="preserve">Департамент охорони здоров’я,  НУО </t>
  </si>
  <si>
    <t>2.2.</t>
  </si>
  <si>
    <t>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</si>
  <si>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2.3.</t>
  </si>
  <si>
    <t xml:space="preserve">Забезпечити високий рівень результативності профілактичної роботи громадських організацій в частині виявлення ВІЛ серед осіб, що належать до ГПР </t>
  </si>
  <si>
    <t xml:space="preserve">Департамент охорони здоров’я, УОЗ, НУО </t>
  </si>
  <si>
    <t xml:space="preserve">2.3.1. Тестування на ВІЛ-інфекцію із застосуванням двох швидких тестів та оптимізації аутріч-маршрутів, маршрутів мобільних амбулаторій 
</t>
  </si>
  <si>
    <t>2.3.2. Забезпечення участі медичних працівників у ПТВ на базі громадських центрів та мобільних амбулаторій неурядових організацій</t>
  </si>
  <si>
    <t xml:space="preserve">2.3.3. Залучення до тестування на ВІЛ, зокрема ЧСЧ, через мережу Інтернет 
</t>
  </si>
  <si>
    <t>2.4.</t>
  </si>
  <si>
    <t xml:space="preserve">Проведення якості досліджень з використанням швидких тестів 
</t>
  </si>
  <si>
    <t>2.5.</t>
  </si>
  <si>
    <t xml:space="preserve">Забезпечити навчання медичних працівників навичкам ПТВ, для проведення скринінгу населення на ВІЛ на базі: 
</t>
  </si>
  <si>
    <t xml:space="preserve">2.5.1. закладів охорони здоров’я ПМСД 
</t>
  </si>
  <si>
    <t xml:space="preserve">Департамент охорони здоров’я </t>
  </si>
  <si>
    <t xml:space="preserve">2.5.2. закладів охорони здоров’я вторинного рівня 
</t>
  </si>
  <si>
    <t xml:space="preserve">Департамент охорони здоров’я, УОЗ </t>
  </si>
  <si>
    <t xml:space="preserve">3. </t>
  </si>
  <si>
    <t>Залучення до системи медичного нагляду людей, які живуть з ВІЛ  (ЛЖВ)</t>
  </si>
  <si>
    <t>3.1.</t>
  </si>
  <si>
    <t>Запровадити ефективну систему залучення до системи медичного нагляду осіб, у разі виявлення у них ВІЛ-інфекції при зверненні за медичною допомогою та при тестування на базі громадських організацій</t>
  </si>
  <si>
    <t>3.1.1.Проведення підтверджуючих досліджень у разі отримання позитивного результату тестування на ВІЛ</t>
  </si>
  <si>
    <t>3.1.2.Охоплення медичним спостереженням осіб, яким встановлено діагноз ВІЛ/СНІД під час перебування на стаціонарному лікуванні у ЗОЗ</t>
  </si>
  <si>
    <t>3.1.3.Здійснення медичного наглядуЛЖВ лікарем інфекціоністом за місцем проживання</t>
  </si>
  <si>
    <t>3.1.4. 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</si>
  <si>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Департамент охорони здоров’я, УОЗ, НУО</t>
  </si>
  <si>
    <t>3.1.5.Скорочення термінів взяття ЛЖВ під медичний нагляд у разі виявлення ВІЛ-інфекції</t>
  </si>
  <si>
    <t>3.2.</t>
  </si>
  <si>
    <t>Забезпечити діагностику опортуністичних інфекцій у ЛЖВ при взятті під медичний нагляд</t>
  </si>
  <si>
    <t>3.3.</t>
  </si>
  <si>
    <t xml:space="preserve">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 
</t>
  </si>
  <si>
    <t>3.3.1. діагностика вірусних гепатитів В і C</t>
  </si>
  <si>
    <t xml:space="preserve">3.3.2. діагностика сифілісу </t>
  </si>
  <si>
    <t>3.3.3. гематологічні та біохімічні дослідження</t>
  </si>
  <si>
    <t>3.3.4. імунологічні дослідження на визначення CD4</t>
  </si>
  <si>
    <t>3.3.5. забезпечення вакуумними системами для забору крові (вакутайнери)</t>
  </si>
  <si>
    <t>3.4.</t>
  </si>
  <si>
    <t>Забезпечити профілактику та лікування опортуністичних інфекцій у ЛЖВ</t>
  </si>
  <si>
    <t xml:space="preserve">3.4.1. профілактика туберкульозу 
</t>
  </si>
  <si>
    <t>3.4.2. профілактика пневмоцистної пневмонії</t>
  </si>
  <si>
    <t>3.4.3. профілактика криптококозу</t>
  </si>
  <si>
    <t>3.4.4. профілактика атипових мікобактеріозів</t>
  </si>
  <si>
    <t>3.4.5. лікування опортуністичних інфекцій</t>
  </si>
  <si>
    <t>3.5.</t>
  </si>
  <si>
    <t>Забезпечити навчання та підвищення кваліфікації лікарів-інфекціоністів закладів охорони здоров’я вторинного рівня надання медичної допомоги з питань діагностики та лікування ВІЛ-інфекції/СНІДу</t>
  </si>
  <si>
    <t>4</t>
  </si>
  <si>
    <t>Охоплення людей, які живуть з ВІЛ, антиретровірусною терапією</t>
  </si>
  <si>
    <t>4.1.</t>
  </si>
  <si>
    <t xml:space="preserve">Прискорити розширення доступу ЛЖВ до антиретровірусної терапії (АРТ) 
</t>
  </si>
  <si>
    <t xml:space="preserve">4.1.1. Продовження та залучення до АРТ пацієнтів, які перебувають під медичним наглядом в Київському міському центрі профілактики та боротьби зі СНІДом  
</t>
  </si>
  <si>
    <t xml:space="preserve">4.1.2. Призначення АРТ (базових схем І ряду) лікарями-інфекціоністами за місцем проживання пацієнта 
</t>
  </si>
  <si>
    <t xml:space="preserve">4.1.3. Видача антиретровірусних препаратів за місцем проживання пацієнта 
</t>
  </si>
  <si>
    <t xml:space="preserve">4.2. </t>
  </si>
  <si>
    <t xml:space="preserve">Покращення матеріально-технічної бази кабінетів інфекційних захворювань (КіЗ) </t>
  </si>
  <si>
    <t>4.2.1. Проведення ремонтних робіт</t>
  </si>
  <si>
    <t>4.2.2. Модернізація робочого місця лікаря (ПК, принтер, ліцензоване програмне забезпечення)</t>
  </si>
  <si>
    <t>4.3.</t>
  </si>
  <si>
    <t xml:space="preserve">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</si>
  <si>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4.4.</t>
  </si>
  <si>
    <t xml:space="preserve">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 
</t>
  </si>
  <si>
    <t xml:space="preserve">Департамент охорони здоров’я, Київський міський центр соціальних служб для сім’ї, дітей і молоді </t>
  </si>
  <si>
    <t>5.</t>
  </si>
  <si>
    <t>Досягнення високої ефективності лікування у людей, які живуть з ВІЛ та отримують антиретровірусну терапію (АРТ)</t>
  </si>
  <si>
    <t>5.1.</t>
  </si>
  <si>
    <t xml:space="preserve">Забезпечити клініко-лабораторний моніторинг та оцінку ефективності АРТ (згідно клінічного протоколу) 
</t>
  </si>
  <si>
    <t xml:space="preserve">5.1.1. Визначення рівня вірусного навантаження (ВН) 
</t>
  </si>
  <si>
    <t xml:space="preserve">5.1.2. Визначення рівня CD4 
</t>
  </si>
  <si>
    <t>5.1.3. Гематологічні дослідження</t>
  </si>
  <si>
    <t xml:space="preserve">5.1.4. Біохімічні дослідження крові 
</t>
  </si>
  <si>
    <t xml:space="preserve">5.1.5. Діагностика опортуністичних інфекцій при прогресуючій ВІЛ-інфекції 
</t>
  </si>
  <si>
    <t>5.2.</t>
  </si>
  <si>
    <t xml:space="preserve">Здійснювати соціальний супровід  ЛЖВ,  груп підвищеного ризику 
</t>
  </si>
  <si>
    <t xml:space="preserve">Київський  міський центр соціальних служб для дітей, сім’ї і молоді, НУО 
</t>
  </si>
  <si>
    <t>5.3.</t>
  </si>
  <si>
    <t xml:space="preserve">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 
</t>
  </si>
  <si>
    <t xml:space="preserve"> тис. грн.</t>
  </si>
  <si>
    <t>%</t>
  </si>
  <si>
    <t>кіл-ть</t>
  </si>
  <si>
    <t>робітників комерційного сексу (далі - РКС)</t>
  </si>
  <si>
    <t>чоловіків, які мають сексуальні стосунки із чоловіками (далі - ЧСЧ);</t>
  </si>
  <si>
    <t xml:space="preserve"> людей, які вживають ін'єкційні наркотики (далі - ЛВІН);</t>
  </si>
  <si>
    <t>Впроваджувати нові моделі профілактичної роботи з метою виходу на важкодоступні ГПР щодо інфікування ВІЛ</t>
  </si>
  <si>
    <t>1.4</t>
  </si>
  <si>
    <t>Здійснити пілотування та впровадження преконтактної профілактики (РгЕР) антиретровірусними препаратами серед ЧСЧ:</t>
  </si>
  <si>
    <t>забезпечення препаратами ЗПТ</t>
  </si>
  <si>
    <t>Забезпечити стійкість програми замісної підтримувальної терапії (ЗПТ) для людей, які вживають ін'єкційні наркотики (ЛВІН), за принципом інтегрованої медичної допомоги</t>
  </si>
  <si>
    <t xml:space="preserve">охоплення вагітних жінок обстеженням на ВІЛ-інфекцію </t>
  </si>
  <si>
    <t>забезпечення адаптованими молочними сумішами для дітей першого року життя, народжених ВІЛ-інфікованими матерями</t>
  </si>
  <si>
    <t>забезпечення антиретровірусними препаратами для профілактики передачі ВІЛ-інфекції від матері до дитини</t>
  </si>
  <si>
    <t>тис.грн</t>
  </si>
  <si>
    <t>1.9</t>
  </si>
  <si>
    <t xml:space="preserve"> Проведення міського дня тестування  на ВІЛ-інфекцію (щомісяця) в закладах охорони здоров'я, що засновані на комунальній власності територіальної громади міста Києва</t>
  </si>
  <si>
    <t>Річний показник</t>
  </si>
  <si>
    <t>Проведення якості досліджень з використанням швидких тестів</t>
  </si>
  <si>
    <t>Забезпечити навчання медичних працівників навичкам ПТВ, для проведення скринінгу населення на ВІЛ на базі:</t>
  </si>
  <si>
    <t>закладів охорони здоров’я ПМСД</t>
  </si>
  <si>
    <t>закладів охорони здоров’я вторинного рівня</t>
  </si>
  <si>
    <t>3</t>
  </si>
  <si>
    <t xml:space="preserve">Залучення до системи медичного нагляду людей, які живуть з ВІЛ  </t>
  </si>
  <si>
    <t>3.1</t>
  </si>
  <si>
    <t>Проведення підтверджуючих досліджень у разі отримання позитивного результату тестування на ВІЛ</t>
  </si>
  <si>
    <t>Охоплення медичним спостереженням осіб, яким встановлено діагноз ВІЛ/СНІД під час перебування на стаціонарному лікуванні у ЗОЗ</t>
  </si>
  <si>
    <t>Здійснення медичного нагляду ЛЖВ лікарем інфекціоністом за місцем проживання</t>
  </si>
  <si>
    <t>Забезпечення супроводу соціальними працівниками НУО представників груп підвищеного ризику щодо інфікування ВІЛ (у разі виявлення у них ВІЛ-інфекції) до закладів охорони здоров’я, які надають медичну допомогу у зв’язку із ВІЛ-інфекцією</t>
  </si>
  <si>
    <t>Скорочення термінів взяття ЛЖВ під медичний нагляд у разі виявлення ВІЛ-інфекції</t>
  </si>
  <si>
    <t>Забезпечити клініко-лабораторне обстеження ЛЖВ при взятті під медичний нагляд у зв’язку із ВІЛ-інфекцією у Київському міському центрі профілактики та боротьби зі СНІДом у тому числі:</t>
  </si>
  <si>
    <t xml:space="preserve"> Забезпечити профілактику та лікування опортуністичних інфекцій у ЛЖВ, з них:</t>
  </si>
  <si>
    <t>профілактика туберкульозу</t>
  </si>
  <si>
    <t>профілактика пневмоцистної пневмонії</t>
  </si>
  <si>
    <t>профілактика криптококозу</t>
  </si>
  <si>
    <t>профілактика атипових мікобактеріозів</t>
  </si>
  <si>
    <t>лікування опортуністичних інфекцій</t>
  </si>
  <si>
    <t>4.1</t>
  </si>
  <si>
    <t xml:space="preserve"> Прискорити розширення доступу ЛЖВ до антиретровірусної терапії (АРТ)</t>
  </si>
  <si>
    <t xml:space="preserve">Продовження та залучення до АРТ пацієнтів, які перебувають під медичним наглядом в Київському міському центрі профілактики та боротьби зі СНІДом </t>
  </si>
  <si>
    <t>Призначення АРТ (базових схем І ряду) лікарями-інфекціоністами за місцем проживання пацієнта</t>
  </si>
  <si>
    <t>Видача антиретровірусних препаратів за місцем проживання пацієнта</t>
  </si>
  <si>
    <t>4.2.</t>
  </si>
  <si>
    <t>Проведення ремонтних робіт</t>
  </si>
  <si>
    <t>Модернізація робочого місця лікаря (ПК, принтер, ліцензоване програмне забезпечення)</t>
  </si>
  <si>
    <t xml:space="preserve"> Оптимізувати процес видачі антиретровірусних препаратів (далі - АРВП) шляхом запровадження рецептурної безкоштовної видачі ЛЖВ антиретровірусних препаратів через аптечну мережу (2017 р. - пілотний проект) </t>
  </si>
  <si>
    <t>Забезпечити соціальний супровід ЛЖВ (насамперед представників груп підвищеного ризику щодо інфікування ВІЛ) силами НУО та Київського міського центру соціальних служб для дітей, сім’ї і молоді для отримання АРТ</t>
  </si>
  <si>
    <t>Досягнення високої ефективності лікування у людей, які живуть з ВІЛ та отримують антиретровірусну терапію</t>
  </si>
  <si>
    <t>Забезпечити клініко-лабораторний моніторинг та оцінку ефективності АРТ (згідно клінічного протоколу)</t>
  </si>
  <si>
    <t>Визначення рівня вірусного навантаження (ВН)</t>
  </si>
  <si>
    <t>Визначення рівня CD4</t>
  </si>
  <si>
    <t>Гематологічні дослідження</t>
  </si>
  <si>
    <t>Біохімічні дослідження крові</t>
  </si>
  <si>
    <t>Діагностика опортуністичних інфекцій при прогресуючій ВІЛ-інфекції</t>
  </si>
  <si>
    <t>5.2</t>
  </si>
  <si>
    <t xml:space="preserve"> Здійснювати соціальний супровід  ЛЖВ,  груп підвищеного ризику</t>
  </si>
  <si>
    <t>Розвиток людських ресурсів: Забезпечити підвищення кваліфікації медичних працівників, залучених до надання медичної допомоги ЛЖВ, шляхом стажування у провідних практиках міжнародних партнерів</t>
  </si>
  <si>
    <t>6.</t>
  </si>
  <si>
    <t xml:space="preserve">Реалізаціяв Програми за стратегією Fast-Track Cities у місті Києві </t>
  </si>
  <si>
    <t xml:space="preserve"> Інформація  про виконання Міської цільової програми протидії епідемії ВІЛ-інфекції на 2017−2021 роки </t>
  </si>
  <si>
    <t>1. Міська цільова програма протидії епідемії ВІЛ-інфекції на 2017−2021 роки рішення КМР  від  08 грудня 2016 року  № 538/1542</t>
  </si>
  <si>
    <t xml:space="preserve">Міської цільової програми протидії епідемії ВІЛ-інфекції на 2017−2021 роки </t>
  </si>
  <si>
    <t>Міської цільової програми Міської цільової програми протидії епідемії ВІЛ-інфекції на 2017-2021 роки</t>
  </si>
  <si>
    <t xml:space="preserve">Частка людей, які живуть з ВІЛ (від оціночної чисельності), які знають свій ВІЛ-статус
</t>
  </si>
  <si>
    <t>Частка людей, які знають свій позитивний ВІЛ-статус, отримують лікування</t>
  </si>
  <si>
    <t xml:space="preserve">Частка людей, які живуть з ВІЛ і отримують лікування, мають пригнічене вірусне навантаження
</t>
  </si>
  <si>
    <t>Річний показник. Даний результат є проміжний, фактичне значення показника буде сформовано за підсумками четвертого кварталу</t>
  </si>
  <si>
    <t>Заплановані бюджетні асигнування на 2020 рік з урахуванням змін</t>
  </si>
  <si>
    <t>82,6</t>
  </si>
  <si>
    <t>кількість ЛВІН, які отримали послуги з профілактики ВІЛ</t>
  </si>
  <si>
    <t>вартість комплексного пакету послуг на одного представника групи ЛВІН на рік</t>
  </si>
  <si>
    <t xml:space="preserve">динаміка частки ЛВІН, які охоплені послугами з профілактики ВІЛ відносно базового показника – 50% від оціночної чисельності </t>
  </si>
  <si>
    <t>кількість ЧСЧ, які отримали послуги з профілактики ВІЛ</t>
  </si>
  <si>
    <t>вартість комплексного пакету послуг на одного представника групи ЧСЧ на рік</t>
  </si>
  <si>
    <t xml:space="preserve">Показник якості: </t>
  </si>
  <si>
    <t>динаміка частки ЧСЧ, які охоплені послугами з профілактики ВІЛ відносно базового показника – 58% від оціночної чисельності</t>
  </si>
  <si>
    <t>Показник якості</t>
  </si>
  <si>
    <t>Показник ефективності</t>
  </si>
  <si>
    <t>кількість РКС, які отримали послуги з профілактики ВІЛ</t>
  </si>
  <si>
    <t>вартість комплексного пакету послуг на одного представника групи РКС на рік</t>
  </si>
  <si>
    <t xml:space="preserve">динаміка частки РКС, які охоплені послугами з профілактики ВІЛ відносно базового показника – 56% від оціночної чисельності </t>
  </si>
  <si>
    <t xml:space="preserve"> відсоток охоплення ГПР інформаційними матеріалами з питань запобігання інфікування ВІЛ </t>
  </si>
  <si>
    <t>розробка та впровадження нових заходів направлених на досяжність важкодоступних ГПР, маршрут пацієнта, тощо</t>
  </si>
  <si>
    <t xml:space="preserve">збільшення частки осіб з числа ГПР, які охоплені профілактичними послугами з питань ВІЛ </t>
  </si>
  <si>
    <t>забезпечення функціонування мобільних амбулаторій, автомобіль</t>
  </si>
  <si>
    <t>вартість забезпечення діяльності 1 мобільної амбулаторії на рік</t>
  </si>
  <si>
    <t>відсоток представників ГПР, які мають доступ до послуг мобільної амбулаторії відносно базового 35%</t>
  </si>
  <si>
    <t>Витрат</t>
  </si>
  <si>
    <t>Продукту</t>
  </si>
  <si>
    <t>Якості</t>
  </si>
  <si>
    <t>Витрати</t>
  </si>
  <si>
    <t xml:space="preserve">кількість ЧСЧ, які отримали преконтактну профілактику </t>
  </si>
  <si>
    <t>витрати на проведення 1 курсу преконтактної профілактики</t>
  </si>
  <si>
    <t>динаміка зміни частки ЧСЧ, які отримують  преконтактну профілактику  інфікування ВІЛ від оціночної чисельності ЧСЧ, порівняно з базовим рівнем – 0%</t>
  </si>
  <si>
    <t>кількість статевих партнерів ЛЖВ, яких було взято під медичне  спостереження</t>
  </si>
  <si>
    <t>середній обсяг витрат на забезпечення залучення 1 статевого партнера ЛЖВ до медичного спостереження</t>
  </si>
  <si>
    <t xml:space="preserve">динаміка зміни частки статевих партнерів ЛЖВ, яких взято під медичне спостереження у разі виявлення ВІЛ серед осіб зазначеної категорії, %. Базовий показник – 20% </t>
  </si>
  <si>
    <t>кількість оснащених кабінетів ЗПТ на базі закладів охорони здоров’я ПМСД</t>
  </si>
  <si>
    <t>середнія вартість оснащення кабінету ЗПТ</t>
  </si>
  <si>
    <t>динаміка кількості районів, де запроваджено ЗПТ на базі закладів охорони здоров’я ПМСД. Базовий рівень – 0</t>
  </si>
  <si>
    <t>кількість ЛВІН, які отримують ЗПТ, всього осіб, з них:</t>
  </si>
  <si>
    <t>кількість ЛВІН, які отримують ЗПТ за кошти Державного бюджету</t>
  </si>
  <si>
    <t>кількість ЛВІН, які отримують ЗПТ за інші кошти</t>
  </si>
  <si>
    <t>кількість ЛВІН, які отримують ЗПТ за кошти бюджету міста Києва</t>
  </si>
  <si>
    <t>середні витрати на забезпечення ЗПТ на 1 хворого на рік</t>
  </si>
  <si>
    <t>динаміка зміни частки ЛВІН, які охоплені ЗПТ від кількост осіб, які перебувають під диспансерним наглядом унаслідок вживання опіоїдів, відносно базового показника 2016 року –16,9%</t>
  </si>
  <si>
    <t>вартість вигодування 1 дитини, народженої від ВІЛ-інфікованої жінки на рік, тис. грн.</t>
  </si>
  <si>
    <t>кількість дітей першого року життя, народжених ВІЛ-інфікованими матерями, які забезпечені  адаптованими молочними сумішами, осіб</t>
  </si>
  <si>
    <t>кількість дітей, які народжені від ВІЛ-інфікованих жінок, які  забезпечені антиретровірусними препаратами для профілактики передачі ВІЛ-інфекції від матері до дитини</t>
  </si>
  <si>
    <t>зменшення рівня передачі ВІЛ-інфекції від матері до дитини. Базове значення показника – 4,6% (2014 р.)</t>
  </si>
  <si>
    <t>кількість людей, які обстежені на ВІЛ-інфекцію</t>
  </si>
  <si>
    <t xml:space="preserve">кількість виявлених випадків ВІЛ-інфекції  </t>
  </si>
  <si>
    <t>середня вартість виявлення 1 ЛЖВ у ЗОЗ</t>
  </si>
  <si>
    <t>відсоток позитивних результатів тестування на ВІЛ-інфекції, %</t>
  </si>
  <si>
    <t>динаміка частки ЛЖВ, які знають свій ВІЛ-статус від оціночної чисельності ЛЖВ, відносно базового рівня - 47%</t>
  </si>
  <si>
    <t>проведення міського дня тестування  на ВІЛ-інфекцію на рік, одиниць</t>
  </si>
  <si>
    <t>динаміка кількості людей, які обстежені під час проведення міського дня  тестування  на ВІЛ-інфекцію (базовий показник – 0), осіб</t>
  </si>
  <si>
    <t>кількість осіб з числа ГПР, у яких було діагностовано ВІЛ на базі НУО</t>
  </si>
  <si>
    <t xml:space="preserve"> вартість виявлення 1 ЛЖВ з числа ГПР на базі НУО</t>
  </si>
  <si>
    <t>результативність (або відсоток позитивних результатів) тестування ГПР на ВІЛ-інфекцію, %</t>
  </si>
  <si>
    <t>кількість лікарів закладів охорони здоров’я ПМСД, які впродовж року пройшли навчання з питань застосування у практиці навичок з ПТВ</t>
  </si>
  <si>
    <t>середні витрати на навчання 1 лікаря, тис. грн</t>
  </si>
  <si>
    <t>динаміка кількості закладів охорони здоров’я ПМСД, які здійснюють скринінг населення на ВІЛ, %</t>
  </si>
  <si>
    <t>кількість лікарів закладів охорони здоров’я вторинного та третинного рівня, які впродовж року пройшли навчання з питань застосування у практиці навичок з ПТВ</t>
  </si>
  <si>
    <t>середні витрати на навчання 1 лікаря</t>
  </si>
  <si>
    <t>динаміка кількості закладів охорони здоров’я вторинного та третинного рівня, які здійснюють скринінг населення на ВІЛ, %</t>
  </si>
  <si>
    <t xml:space="preserve"> кількість осіб, якім проведено лабораторне підтвердження ВІЛ-інфекції (за кошти Державного бюджету), осіб </t>
  </si>
  <si>
    <t xml:space="preserve">кількість осіб, якім проведено лабораторне підтвердження ВІЛ-інфекції за кошти бюджету м. Києва, осіб </t>
  </si>
  <si>
    <t>кількість зареєстрованих нових випадків ВІЛ-інфекції</t>
  </si>
  <si>
    <t>середні витрати на реєстрацію 1 випадку ВІЛ-інфекції</t>
  </si>
  <si>
    <t xml:space="preserve"> динаміка показника охоплення ЛЖВ від кількості виявлених осіб, %</t>
  </si>
  <si>
    <t xml:space="preserve">загальна чисельність ЛЖВ, які знають свій статус </t>
  </si>
  <si>
    <t xml:space="preserve">динаміка частки ЛЖВ,  які знають свій ВІЛ-статус (від оціночної чисельності ЛЖВ), відносно базового рівня - 47% </t>
  </si>
  <si>
    <t xml:space="preserve">кількість осіб, у яких діагностовано ВІЛ-інфекцію під час перебування на стаціонарному лікуванні </t>
  </si>
  <si>
    <t>динаміка частки  ЛЖВ, яких було взято на диспансерний облік з приводу ВІЛ-інфекції з числа вперше діагностованих у ЗОЗ. Базовий показник – 18%.</t>
  </si>
  <si>
    <t>кількість ЛЖВ  з вперше встановленим діагнозом, які взяті під медичне спостереження лікарем-інфекціоністом за місцем проживання</t>
  </si>
  <si>
    <t>3.1.2</t>
  </si>
  <si>
    <t>3.1.1</t>
  </si>
  <si>
    <t>3.1.3</t>
  </si>
  <si>
    <t>динаміка частки осіб, які спостерігаються з приводу ВІЛ-інфекції за місцем проживання (на базі КІЗ) від кількості ЛЖВ, зареєстрованих на даній адміністративно-територіальній одинці. Базовий показник – 0%</t>
  </si>
  <si>
    <t>3.1.4</t>
  </si>
  <si>
    <t>3.1.5.</t>
  </si>
  <si>
    <t>кількість ЛЖВ з числа ГПР, які звернулися за направленням НУО для отриманням допомоги</t>
  </si>
  <si>
    <t xml:space="preserve">вартість витрат на супровід ЛЖВ до закладу медичного здоров’я  </t>
  </si>
  <si>
    <t>динаміка частки ЛЖВ, які звернулися до закладу за направленням НУО. Базовий показник 60%.</t>
  </si>
  <si>
    <t>кількість ЛЖВ, яких було взято під медичний нагляд у день первинного звернення з приводу діагностованої ВІЛ-інфекції</t>
  </si>
  <si>
    <t>динаміка частки ЛЖВ, яких було взято під медичний нагляд впродовж 1 дня Базовий показник – 5%</t>
  </si>
  <si>
    <t xml:space="preserve">кількість ЛЖВ, які обстежені на опортуністичні інфекції при взятті під медичний нагляд </t>
  </si>
  <si>
    <t xml:space="preserve">середня вартість лабораторного обстеження на опортуністичні інфекції 1 первинного пацієнта </t>
  </si>
  <si>
    <t xml:space="preserve">динаміка частки ЛЖВ, які  обстежені на опортуністичні інфекції від числа взятих під медичний нагляд. Базовий рівень показника – 30% </t>
  </si>
  <si>
    <t xml:space="preserve"> кількість ЛЖВ, які охоплені клініко-лабораторним обстеженням </t>
  </si>
  <si>
    <t>середня вартість клініко-лабораторного  обстеження 1 ЛЖВ при взятті під медичний нагляд</t>
  </si>
  <si>
    <t>динаміка охоплення клініко-лабораторним обстеженням ЛЖВ при взятті під медичний нагляд. Базовий рівень показника 80%</t>
  </si>
  <si>
    <t>3.3.3</t>
  </si>
  <si>
    <t>гематологічні та біохімічні дослідження</t>
  </si>
  <si>
    <t xml:space="preserve">середня вартість профілактики і лікування опортуністичних інфекцій на 1 ЛЖВ на рік, тис. грн. </t>
  </si>
  <si>
    <t>динаміка частки ЛЖВ, які охоплені профілактикою та лікуванням опортуністичних інфекцій за кошти бюджету міста Києва. Базовий рівень показника - 10%</t>
  </si>
  <si>
    <t>кількість лікарів-інфекціоністів закладів охорони здоров’я вторинного рівня надання медичної допомоги які пройшли навчання з питань діагностики та лікування ВІЛ-інфекції/СНІДу, осіб</t>
  </si>
  <si>
    <t>середня вартість навчання</t>
  </si>
  <si>
    <t>динаміка показника відсотка лікарів-інфекціоністів ЗОЗ вторинного рівня надання медичної допомоги, які мають відповідну підготовку з питань діагностики та лікування ВІЛ-інфекції/СНІДу. Базовий рівень – 3%</t>
  </si>
  <si>
    <t>чисельність ЛЖВ, яким призначено АРТ, осіб</t>
  </si>
  <si>
    <t>середня вартість річного курсу АРТ для одного ЛЖВ, тис. грн.</t>
  </si>
  <si>
    <t>динаміка частки людей, які знають свій позитивний ВІЛ-статус, і отримують лікування (відносно базового показника 60,7%)</t>
  </si>
  <si>
    <t>динаміка частки ЛЖВ з числа вперше виявлених, яким призначено АРТ лікарем-інфекціоністом за місцем проживання. Базовий рівень показника – 0%</t>
  </si>
  <si>
    <t>число ЛЖВ, які отримують АРТ за місцем проживання, осіб</t>
  </si>
  <si>
    <t xml:space="preserve"> динаміка частки ЛЖВ, які отримують препарати АРТ за місцем проживання. Базовий рівень показника – 40%</t>
  </si>
  <si>
    <t>кількість модернизованих КіЗів, одиниць</t>
  </si>
  <si>
    <t>середня вартість ремонтних робіт 1 КіЗ</t>
  </si>
  <si>
    <t>% відремонтованих КіЗ, від запланованого Базовий показник - 0</t>
  </si>
  <si>
    <t>середня вартість модернізації 1 робочого місця лікаря-інфекціоніста, тис. грн.</t>
  </si>
  <si>
    <t xml:space="preserve"> % модернізованих КіЗ, від запланованого Базовий показник - 0</t>
  </si>
  <si>
    <t>кількість аптечних закладів та чисельність ЛЖВ, які отримують у них АРВП (моніторинг запровадження)</t>
  </si>
  <si>
    <t>середня вартість послуг на 1 ЛЖВ на рік для отримання препаратів в аптеці</t>
  </si>
  <si>
    <t>динамика частки ЛЖВ, які отримують ліки через аптечну мережу, %. Базовий рівень - 0%</t>
  </si>
  <si>
    <t>кількість ЛЖВ, які отримують соціальний супровід</t>
  </si>
  <si>
    <t>річна вартість соціального супроводу 1 ЛЖВ,</t>
  </si>
  <si>
    <t>динаміка показника охоплення ЛЖВ, які перебувають під медичним спостереженням, соціальним супроводом відносно базового рівня – 44%</t>
  </si>
  <si>
    <t>3.4.1</t>
  </si>
  <si>
    <t>3.4.2</t>
  </si>
  <si>
    <t>3.4.3</t>
  </si>
  <si>
    <t>3.4.4</t>
  </si>
  <si>
    <t>3.4.5</t>
  </si>
  <si>
    <t>кількість ЛЖВ, які отримали профілактику туберкульозу</t>
  </si>
  <si>
    <t>кількість ЛЖВ, які отримали профілактику пневмоцистної пневмонії</t>
  </si>
  <si>
    <t>кількість ЛЖВ, які отримали профілактику криптококозу</t>
  </si>
  <si>
    <t>кількість ЛЖВ, які отримали профілактику атипових мікобактеріозів</t>
  </si>
  <si>
    <t>кількість ЛЖВ, які отримали лікування опортуністичних інфекцій</t>
  </si>
  <si>
    <t>5.1.1</t>
  </si>
  <si>
    <t>5.1.2</t>
  </si>
  <si>
    <t>5.1.4</t>
  </si>
  <si>
    <t>5.1.5</t>
  </si>
  <si>
    <t>5.1.3</t>
  </si>
  <si>
    <t>чисельність ЛЖВ, у яких визначено рівень вірусного навантаження, осіб (МБ)</t>
  </si>
  <si>
    <t>чисельність ЛЖВ, у яких визначено рівень вірусного навантаження, осіб (ДБ)</t>
  </si>
  <si>
    <t xml:space="preserve">чисельність ЛЖВ, у яких визначено рівень CD4, осіб </t>
  </si>
  <si>
    <t>чисельність ЛЖВ, яким проведено гематологічні дослідження, осіб</t>
  </si>
  <si>
    <t>чисельність ЛЖВ, яким проведено біохімічні дослідження крові, осіб</t>
  </si>
  <si>
    <t xml:space="preserve">чисельність ЛЖВ, які охоплені діагностикою опортуністичних інфекцій при прогресуючій ВІЛ-інфекції, осіб </t>
  </si>
  <si>
    <t>середня вартість клініко-лабораторного супроводу АРТ на рік 1 ЛЖВ, тис. грн.</t>
  </si>
  <si>
    <t>частка ЛЖВ, у яких досягнуто невизначуваного рівня вірусного навантаження (&lt; 40 РНК копій/мл) відносно базового рівня 85%</t>
  </si>
  <si>
    <t>кількість лікарів, які підвищили кваліфікацію з питань ВІЛ/СНІДу, та надають кваліфіковану допомогу ЛЖВ</t>
  </si>
  <si>
    <t>середні витрати на підвищення кваліфікації лікаря,</t>
  </si>
  <si>
    <t>динаміка частки лікарів, які пройшли стажування з числа тих, що надають допомогу ЛЖВ. Базовий рівень – 12%</t>
  </si>
  <si>
    <t xml:space="preserve"> кількість розроблених нормативних актів, проектів рішень </t>
  </si>
  <si>
    <t xml:space="preserve"> відсоток прийнятих до виконання нормативних актів або рішень від розроблених</t>
  </si>
  <si>
    <t>динаміка відсотка прийнятих до виконання нормативних актів або рішень порівняно з попереднім роком</t>
  </si>
  <si>
    <t>діагностика вірусних гепатитів В і С</t>
  </si>
  <si>
    <t>діагностика сифілісу</t>
  </si>
  <si>
    <t>3.3.4</t>
  </si>
  <si>
    <t>імунологічні дослідження на визначення СД4</t>
  </si>
  <si>
    <t>3.3.5</t>
  </si>
  <si>
    <t>забезпечення вакумними системами для забору крові (вакутайнери)</t>
  </si>
  <si>
    <t>4.1.1</t>
  </si>
  <si>
    <t>4.1.2</t>
  </si>
  <si>
    <t>число ЛЖВ, яким було призначено базові схеми АРТ за місцем проживання, осіб</t>
  </si>
  <si>
    <t>4.2.2</t>
  </si>
  <si>
    <t>4.1.3</t>
  </si>
  <si>
    <t>кількість ЛЖВ з числа нових випадків серед осіб груп підвищеного ризику щодо інфікування ВІЛ, які охоплені соціальним супроводом для досягнення прихильності до АРТ</t>
  </si>
  <si>
    <t>динаміка частки ЛЖВ, які утримуються на лікуванні впродовж 12 місяців від початку лікування. Базовий рівень – 85%</t>
  </si>
  <si>
    <t>Ефективності</t>
  </si>
  <si>
    <t>Забезпечено належного рівню якості досліджень з використанням швидких тестів</t>
  </si>
  <si>
    <t xml:space="preserve"> кількість осіб, які пройшли навчання з надання комплексних профілактичних послуг ГПР у щодо інфікування ВІЛ</t>
  </si>
  <si>
    <t>витрати на проведення навчання на рік</t>
  </si>
  <si>
    <t>збільшення частки соціальних працівників, які пройшли навчання відносно базового рівня 70%</t>
  </si>
  <si>
    <t>1.8.1</t>
  </si>
  <si>
    <t>1.8.2</t>
  </si>
  <si>
    <t>1.8.3</t>
  </si>
  <si>
    <t>1.1.1</t>
  </si>
  <si>
    <t>1.1.2</t>
  </si>
  <si>
    <t>1.1.3</t>
  </si>
  <si>
    <t>1.7.4</t>
  </si>
  <si>
    <t>1.7.1</t>
  </si>
  <si>
    <t>Проведення ремонту приміщень з метою розширення мережі кабінетів ЗПТ на базі закладів охорони здоровя у Подільському та Святошинському районах (2017), Дарницькому, Деснянському, Дніпровському та Шевченківському районах (2018р.)</t>
  </si>
  <si>
    <t>1.7.2</t>
  </si>
  <si>
    <t>1.7.3</t>
  </si>
  <si>
    <t>Реалізація ЗПТ на базі закладів охорони здоров, які надають первинну медико-санітарну допомогу</t>
  </si>
  <si>
    <t>Оснащення кабінетівс ЗПТ на базі закладів охорони здоровя ПМСД у Святошинському, Соломянському та Шевченківському, Подільському, Дарницькому, Деснянському,Дніпровському, Печерському районах (2018 рік)</t>
  </si>
  <si>
    <t>Якість</t>
  </si>
  <si>
    <t>2.3.1</t>
  </si>
  <si>
    <t>Тестування на ВІЛ-інфекцію із застосуванням двох швидких тестів та оптимізації аутріч маршрутів, маршрутів мобільних амбулаторій</t>
  </si>
  <si>
    <t>2.3.2</t>
  </si>
  <si>
    <t>Запезпечення участі медичних працівників у ПТВ на базі громадських центрів та мобільних амбклаторій неурядових організацій</t>
  </si>
  <si>
    <t>2.3.3</t>
  </si>
  <si>
    <t>Залучення до тестування на ВІЛ, зокрема ЧСЧ, через мережу інтернет</t>
  </si>
  <si>
    <t>2.5.1</t>
  </si>
  <si>
    <t>2.5.2</t>
  </si>
  <si>
    <t>ДБ</t>
  </si>
  <si>
    <t>МБ</t>
  </si>
  <si>
    <t>чисельність ЛЖВ, які отримують АРТ</t>
  </si>
  <si>
    <t xml:space="preserve">Кількість невиконаних результативних показників </t>
  </si>
  <si>
    <t>Відсоток виконання результативних показників -</t>
  </si>
  <si>
    <t>2.2</t>
  </si>
  <si>
    <t>кіл-ть осіб</t>
  </si>
  <si>
    <t xml:space="preserve">Кількість виконаних результативних показників </t>
  </si>
  <si>
    <t xml:space="preserve">кіл-ть </t>
  </si>
  <si>
    <t>частково виконано</t>
  </si>
  <si>
    <t>річний показник</t>
  </si>
  <si>
    <t>виконано</t>
  </si>
  <si>
    <t>-</t>
  </si>
  <si>
    <t>Фінансування заходу Програмою не передбачене.</t>
  </si>
  <si>
    <t>Потреба  на 2020 рік  в закупівлі виробів медичного призначення для визначення рівня вірусного навантаження (ВН) (на суму 6 543,00 тис.грн.-асигнування  доведені кошторисом  на 2020 рік) відсутня. Поставляється  за рахунок Державного бюджету.</t>
  </si>
  <si>
    <t>Потреба  на 2020 рік  в закупівлі виробів медичного призначення для визначення рівня CD4  за кошти бюджета м.Киэва (на суму 4 219,20 тис.грн - асигнування  доведені кошторисом  на 2020 рік) відсутня.  Поставляється   за рахунок Державного бюджету.</t>
  </si>
  <si>
    <t>за  9 місяців 2020 року</t>
  </si>
  <si>
    <t>за 9 місяців 2020 року</t>
  </si>
  <si>
    <t>за 9 місяців  2020 року</t>
  </si>
  <si>
    <t>Річний показник. Показник виконаний частково.Впрождовж 9 півріччя було охоплено 74 % від планового річного показника (100%). Показник сформований на підставі звітів двох неурядових організацій ГО "Альянс. Глобал" та БО "100 відсотків життя"</t>
  </si>
  <si>
    <t>Частка ЛВІН, які охоплені профілактичними послугами станом на 01.10.2020 року становить більше 100% від оціночної кількості. Наявний показник свідчить про високий рівень охоплення ЛВІН профілактичними послугами</t>
  </si>
  <si>
    <t>Річний показник. Показник виконаний частково.Частка ЧСЧ, які охоплені профілактичними послугами становить 49,3% від річного показника 64,5%. Виконання показника свідчить про високий рівень охоплення групи ЧСЧ профілактичними послугами</t>
  </si>
  <si>
    <t>Показник визначений на підставі звітів НУО за 9 місяців:  ВБО "Конвіктус Україна", ГО "Клуб Еней", ВБФ "Дроп ін Центр"</t>
  </si>
  <si>
    <t xml:space="preserve">Річний показник виконаний.Частка РКС, які охоплені профілактичними послугами станом на 01.10.2020 року становить 91,4 % від оціночної чисельності. Виконання показника свідчить про високий рівень охоплення групи РКС профілактичними послугами </t>
  </si>
  <si>
    <t xml:space="preserve">Річний показник виконаний. Охоплено більше 86 % груп ризиків  Показник визначений на підставі звітів НУО за 9 місяців. </t>
  </si>
  <si>
    <t>Річний показник.</t>
  </si>
  <si>
    <t>Річний показник виконаний.</t>
  </si>
  <si>
    <t>Річний показник. Показник виконанний частково. Охоплено 100% від всіх бажаючих, які вирішили отримувати ДКП</t>
  </si>
  <si>
    <t>Річний показник. Показник виконанний частково і становить 2,3% від оціночної чисельності  та від річного планового показника - 21,9%.</t>
  </si>
  <si>
    <t xml:space="preserve">Річний показник. </t>
  </si>
  <si>
    <t>Річний показник. Показник виконаний частково. За даними сероепідмоніторингу  (Звітна форма №2") було виявлено 132 партнери і всі 100% охоплено медичним наглядом.</t>
  </si>
  <si>
    <t xml:space="preserve">Річний показник виконаний. Охоплено 100% груп ризиків  </t>
  </si>
  <si>
    <t>Річний показник.Показник виконаний впродовж 2017-2018 років</t>
  </si>
  <si>
    <t xml:space="preserve">Річний показник. Показник виконанний частково і становить 70 % від планового річного показника </t>
  </si>
  <si>
    <t>Річний показник виконаний.1.Створено сайт gettest.com.ua   Основна мета сайту інформаційна камапанія залучення  важкодоступних груп ризику до проходження обстеження на ВІЛ. Проект впроваджувала ГО "Альянс.Глобал".          2. Вихід на вуличні точки (притони) важкодоступних груп ризику (безхатьки, РКС, партнери ЛЖВ. Здійснюється обстеження на ВІЛ, ТБ, ІПСШ, у разі виявлення постановка під медичне спостереження та призначення лікування</t>
  </si>
  <si>
    <t>Річний показник. Показник виконанний частково і становить 81,2 % від планового річного показника. Охоплено 100% від бажаючих отримувати ЗПТ</t>
  </si>
  <si>
    <t>Річний показник. Показник виконанний частково і становить 14,3 % від річного планового показника</t>
  </si>
  <si>
    <t>Річний показник. Виконаний частково, остаточний буде сформований за результатами 4 кварталу</t>
  </si>
  <si>
    <t>Річний показник. Показник виконаний частково, обумовлено зменшенням кількістю вагітних загалом у місті Києві</t>
  </si>
  <si>
    <t>Річний показник. Показник виконаний частково відносно планового показника, проте охоплено 100% від потребуючих. Спостерігається тенденція до зменшення кількості народжуваних дітей, від ВІЛ-інфікованих матерів.</t>
  </si>
  <si>
    <t xml:space="preserve">Річний показник.. Показник перебільшений у двіччі, за рахунок зменшення дітей народжених від ВІЛ-інфікованих матерів </t>
  </si>
  <si>
    <t>Річний показник. Показник виконаний частково. Охоплено 100% від потребуючих та 37,6  % від планового річного показника</t>
  </si>
  <si>
    <t>Індикатор розраховується згідно вимог наказу МОЗ України від 03.08.2012 №612 "Про затвердження форм первинної облікової документації та звітності з питань моніторингу заходів профілактики передачі ВІЛ від матері до дитини, інструкцій щодо їх заповнення". Визначається на підставі оцінки когорти дітей звітного (позаминулого) року - дітей, народжених від ВІЛ-інфікованих матерів у 2018 році</t>
  </si>
  <si>
    <t xml:space="preserve">Річний показник.виконаний.  Охоплено навчанням  більше 100 %  від планового річного показника. Навчання та практичні навички здійснювались на базі НГО ВБО "Конвіктус Україна" та ВБФ "Дроп ін Центр" безпосередньо у польових умовах </t>
  </si>
  <si>
    <t>Річний показник. Фінансовий показник не виконанний у зв'язку із веденням карантиних заходів. Навчання хдійснювалось у польових умовах без затрат коштів.</t>
  </si>
  <si>
    <t>Річний показник виконаний</t>
  </si>
  <si>
    <t xml:space="preserve">Річний показник. Показник виконаний частково. Так, впродовж 9 місяців 2020 року у ЗОЗ міста Києва було обстежено швидкими тестами 58 018 осіб. Загалом у Києві згідно "Звітної форми №2" обстежено 142251 осіб. Також, за звітний період було обстежено на ВІЛ 17 158 донацій крові </t>
  </si>
  <si>
    <t>Річний показник. Виконаний частково. Загалом за результатами скринінгу виявлено серологічні маркери ВІЛ у 2074 зразках крові, з них у 1168 (56,3%) осіб, які були обстеженні швидкими тестами у ЗОЗ м. Києва</t>
  </si>
  <si>
    <t>Річний показник. Виконаний частково. Середня вартість виявлення одного ЛЖВ у ЗОЗ збільшена удвічі, основною причиною відхилення є, обстеження загального населення, а не груп підвищеного ризику до інфікування ВІЛ.</t>
  </si>
  <si>
    <t>Річний показник. Виконанний частково. Основна причина невиконання є зменшення кількості обстежених та виявлених випадків ВІЛ у ЗОЗ міста Києва</t>
  </si>
  <si>
    <t>Річний показник. Виконаний частково. Основна причина невиконання є зменшення кількості виявлених випадків ВІЛ серед обстежених</t>
  </si>
  <si>
    <t>Річний показник. Показник не виконаний. Відсутній наказ по місту Києва щодо проведення міського дня тестування на ВІЛ</t>
  </si>
  <si>
    <t>Річний показник. Плановий програмний показник відсутній, проте у червні місяці було здійснено 6 виїздів командою КМЦ СНІДу у місто та проведено тестування на ВІЛ серед загального населення</t>
  </si>
  <si>
    <t>Річний показник. Виконаний частково. Показник сформований за даними звітів НУО щодо кількості осіб, у яких виявлено позитивний результат з використанням швидких тестів, у звітному періоді в рамках проектної діяльності. Обстежено загалом 77266 особи, з них 1173 отримали ВІЛ-позитивний результат, взято під нагляд протягом звітного року з уперше в житті встановленим діагнозом ВІЛ-інфекція 667 особа.</t>
  </si>
  <si>
    <t>Річний показник. Показник виконаний частково, За звітною формою №1 ВІЛ/СНІД,  результативність становить  5%.. За даними звітів НГО результативність становить 1,5%</t>
  </si>
  <si>
    <t>Річний показник. Оцінка якості досліджень запланова на 4 квартал 2020 року</t>
  </si>
  <si>
    <t>Річний показник. Показник виконаний частково. Основна причина невиконання є впровадження карантиних заходів. 19 осіб пройшли навчання у рамках проекту Healthtink.</t>
  </si>
  <si>
    <t>Річний показник виконаний. 100 відсотків закладів ПМСД здійснюють обстеження на ВІЛ швидкими тестами</t>
  </si>
  <si>
    <t>Річний показник виконаний. 15 осіб пройшли навчання на базі КМКЛ №5, 133 особи пройшли навчання у у межах проекту Healthtink.</t>
  </si>
  <si>
    <t>Річний показник.Показник не виконаний .Всі підтверджувальні аналізи здійснювались за кошти ДБ поставки 2018-2019рр</t>
  </si>
  <si>
    <t xml:space="preserve">Річний показник. Показник не виконаний. </t>
  </si>
  <si>
    <t>Річний показник. Показник виконаний частково. Однією із причин є відставання у темпах виявлення ВІЛ серед населення</t>
  </si>
  <si>
    <t xml:space="preserve">Річний показник. Показник виконаний частково </t>
  </si>
  <si>
    <t>Річний показник. Виконаний частково і становить 75,2%. Станом на 01.10.2020 року під медичним спостереженням знаходиться 14 910 осіб</t>
  </si>
  <si>
    <t>Річний показник. Показник виконаний частково і становить на 01.10.2020 59,0%.Основні причини низького % диспансеризації є дублювання вже виявлених пацієнтів, мешканці інших регіонів та пацієнтів, яких неможливо ідентифікувти</t>
  </si>
  <si>
    <t>Річний показник виконаний частково і становить 8,1% від планового річного показника</t>
  </si>
  <si>
    <t>Річний показник. Станом на 01.10.2020 року показник виконаний на 98,8%</t>
  </si>
  <si>
    <t>Річний показник. Ефективність занижена, у звязку із неможливістю розділити фінанси на окрему  послугу " супровід до медичного закладу"</t>
  </si>
  <si>
    <t>Річний показник виконаний частково, остаточний результат буде сформований за результатами звітів 4 кварталу.</t>
  </si>
  <si>
    <t xml:space="preserve">Річний показник, виконаний частково і становить 67,3 % від планового показника. Причина невиконання є зменшення кількості взятих під медичне спостереження впродовж звітного періоду </t>
  </si>
  <si>
    <t>Річний показник виконаний. 90 % осіб, у яких виявляють ВІЛ, беруть під медичне спостереження у день звернення до медичного закладу.</t>
  </si>
  <si>
    <t>Річний показник, виконаний частково і становить 85,5%. На опортуністичні інфекції обстежені всі пацієнти, у яких  були показання</t>
  </si>
  <si>
    <t>Річний показник якості виконаний. 359 (100%)  осіб, серед вперше взятих під медичне спостереженнябули обстеженні на опортуністичні інфекції</t>
  </si>
  <si>
    <t>Річний показник. Показник виконано. Охоплено клініко-лабораторним  обстеженням  100% ЛЖВ , яким вперше встановлено діагноз ВІЛ-інфекція</t>
  </si>
  <si>
    <t>Річний показник. Показник виконаний частково і становить 51,6%  відносно планового річного показника. Охоплено обстеженням  100% ЛЖВ , яким вперше встановлено діагноз ВІЛ-інфекція</t>
  </si>
  <si>
    <t>Річний показник, виконаний частково  та буде сформований за результатами 4 кварталу</t>
  </si>
  <si>
    <t>Річний показник, виконаний</t>
  </si>
  <si>
    <t>Річний показник. Навчання проводилось у рамках проекту Healthlink дл япервинки, вторинки. Розділити кошти не можливо</t>
  </si>
  <si>
    <t xml:space="preserve">Річний показник, виконано. Навчання проводилось у рамках проекту Healthlink </t>
  </si>
  <si>
    <t xml:space="preserve">Річний показник, виконано. </t>
  </si>
  <si>
    <t>Річний показник, проміжний результат - виконання становить 57,7%</t>
  </si>
  <si>
    <t>Річний показник, проміжний результат  показника станом на 01.10.2020 року становить 82,7%</t>
  </si>
  <si>
    <t>Річний показник, виконаний частково. Основна причина невиконання показника, є малий відсоток виявлених та взяття під медичне спостереження ЛЖВ</t>
  </si>
  <si>
    <t>Річний показник. Показник виконаний впродовж 2017-2018 років</t>
  </si>
  <si>
    <t>Річний показник. Економія коштів, договір укладено на 1грн. з КП "Фармація" . Договір укладений у 2016 році</t>
  </si>
  <si>
    <t>Річний показник, виконаний частково і становить 87,4 %</t>
  </si>
  <si>
    <t>Річний показник, сформований на підставі звітів НГО та КМЦ ССДМ</t>
  </si>
  <si>
    <t>Річний показник, виконаний. Перевищення показника незначне, остаточний показник буде сформований за результатами 4 кварталу</t>
  </si>
  <si>
    <t>Річний показник. Показник не виконано. Діагностика вірусного навантаження  у повному обсязі була забезпечена за рахунок централізованих поставок (ДБ) 2018-2019 років</t>
  </si>
  <si>
    <t>Річний показник. Показник виконано. Охоплено 100% ЛЖВ, які мали показання до обстеження</t>
  </si>
  <si>
    <t>Річний показник - виконаний. Охоплено 100% пацієнтів, які мали показання до діагностики опортуністичних інфекцій при прогресуванні хвороби.</t>
  </si>
  <si>
    <t>Річний показник, виконаний. Задіяні всі 13 аптек КП "Фармація" у видачі препаратів</t>
  </si>
  <si>
    <t>Річний показник - виконано</t>
  </si>
  <si>
    <t>Річний показник - виконано  частково і становить на 01.10.2020 року 86,1%</t>
  </si>
  <si>
    <t>Річний показник, виконаний частково і становить 82,6%</t>
  </si>
  <si>
    <t>Річний показник- виконаний частково</t>
  </si>
  <si>
    <t>Річний показник. Всі документи були прийняті до виконання</t>
  </si>
  <si>
    <t>Показник визначений на підставі звітів НУО за 9 місяців:  ВБО "Конвіктус Україна", ГО "Клуб Еней", ВБФ "Дроп ін Центр", го "Клуб Еней" та КМЦ СССМС.</t>
  </si>
  <si>
    <t>Річний показник (кошти ГФ, PATH,Solidarite SIDA)</t>
  </si>
  <si>
    <t>Показник затрат дещо перевищує за рахунок поставок із Державного бюджету  та інших коштів (Глобальний фонд)</t>
  </si>
  <si>
    <t xml:space="preserve"> Впродовж І півріччя 40 осіб ЗПТ отримували за кошти глобального фонду. </t>
  </si>
  <si>
    <t>Річний показник, проміжний результат станом на 01.10.2020 року дещо перевищений, за рахунок недобору пацієнтів на ЗПТ</t>
  </si>
  <si>
    <t>Річний показник, станом на 01.10.2020 результат є проміжний , остаточний буде сформований за результатами 4 кварталу</t>
  </si>
  <si>
    <t>Річний показник. Плановий показник у програму не закладений, проте було проведено підтверджувальні аналізи  у 1987 осіб.  У повному обсязі діагностику підтверджуючих аналізів було проведено за кошти ДБ поставок 2018-2019 рр.</t>
  </si>
  <si>
    <t xml:space="preserve">Річний показник,  </t>
  </si>
  <si>
    <t xml:space="preserve">Річний показник, остаточний  показник буде сформований за результатами 4 кварталу </t>
  </si>
  <si>
    <t>Річний показник. Видача препаратів здійснюється за рахунок централізованих поставок з ДБ</t>
  </si>
  <si>
    <t xml:space="preserve">Річний показник. Показник сформований на підставі звітних форм НГО, у звітних формах відсутній чіткий розподіл коштів </t>
  </si>
  <si>
    <t>Річний показник, проміжний результат занижений, із-за відсутності чіткого розподілу коштів у звітних формах НГО</t>
  </si>
  <si>
    <t>Річний показник. Кошти інших джерел (ГФ)</t>
  </si>
  <si>
    <t>Річний показник. Показник виконанний. Станом на 01.10.2020 року у місті Києві працює 4 мобільні амбулаторії, які закріпленніза : ВБО "Конвіктус Україна", ВБФ "Дроп ін Центр", AHF та ГО "Альянс громадського Здоров'я"</t>
  </si>
  <si>
    <t>Річний показник виконанний. Протягом звітного періоду у МА було обстежено 6093 особи, виявлено 128 ВІЛ позитивних осіб, інфікованість становила 2,1%. Всі ЛЖВ, яких було виявлено антитіла до ВІЛ, було перенаправлено до КМЦ СНІДу для подальшого дообстеження та встановлення діагнозу</t>
  </si>
  <si>
    <t>Річний показник.  Показник дещо знижений за рахунок економії коштів під час проведення закупівлі</t>
  </si>
  <si>
    <t>Річний показник. Коштів на реалізацію даного заходу не передбачено</t>
  </si>
  <si>
    <t>Річний показник, невиконаний із-за впровадження карантиних захлдів</t>
  </si>
  <si>
    <t>Річний показник, спостерігається відхилення показника із-за небору пацієнтів на лікування</t>
  </si>
  <si>
    <t>Враховуючи залишки виробів медичного призначення кошторисом не передбачено асигнування заходу на 2020 рік.</t>
  </si>
  <si>
    <t>Річний показник. Показник сформований на підставі звітної форми №1 ВІЛ/СНІД (квартальна)</t>
  </si>
  <si>
    <t>Річний показник, виконаний частково. Охоплено 1468 ( 100%)пацієнтів, які виявили бажання отримувати препарати через аптечну мережу</t>
  </si>
  <si>
    <t>Загалом результативних показників</t>
  </si>
  <si>
    <t>Річний показник. Показник  у повному обсязі неможливо  подати  із-за міграційних процесів у розрізі адміністативних районів міста Києва</t>
  </si>
  <si>
    <t>Річний показник. Показник сформований на підставі звітів НГО (97 % кошти ГФ)</t>
  </si>
  <si>
    <t>Річний показник, виконаний частково і становить на 01.10.2020 року 55,4%</t>
  </si>
  <si>
    <t>Річний показник, виконаний частково і становить на 01.10.2020 року 34,2 %</t>
  </si>
  <si>
    <t>Річний показник, виконаний частково і становить на 01.10.2020 року 33,6%</t>
  </si>
  <si>
    <t>Річний показник. Проміжний результат станом на 01.10.2020 року становить 21,1 % від планового показника</t>
  </si>
  <si>
    <t>Річний показник. Показник включає кількість осіб, які отримують лвкування у КІЗ та "КП Фармація"</t>
  </si>
  <si>
    <t>Річний показник. Перевищення планового показника на 5 %</t>
  </si>
  <si>
    <t>Директор</t>
  </si>
  <si>
    <t>Валентина ГІНЗБУРГ</t>
  </si>
</sst>
</file>

<file path=xl/styles.xml><?xml version="1.0" encoding="utf-8"?>
<styleSheet xmlns="http://schemas.openxmlformats.org/spreadsheetml/2006/main">
  <numFmts count="9">
    <numFmt numFmtId="164" formatCode="_-* #,##0.00\ _₽_-;\-* #,##0.00\ _₽_-;_-* &quot;-&quot;??\ _₽_-;_-@_-"/>
    <numFmt numFmtId="165" formatCode="#,##0.0"/>
    <numFmt numFmtId="166" formatCode="0.000"/>
    <numFmt numFmtId="167" formatCode="0.0000"/>
    <numFmt numFmtId="168" formatCode="0.0"/>
    <numFmt numFmtId="169" formatCode="#,##0.00\ _₽;[Red]#,##0.00\ _₽"/>
    <numFmt numFmtId="170" formatCode="#,##0.00\ _₽"/>
    <numFmt numFmtId="171" formatCode="#,##0.00\ _₴"/>
    <numFmt numFmtId="172" formatCode="#,##0.00_₴"/>
  </numFmts>
  <fonts count="20">
    <font>
      <sz val="11"/>
      <color theme="1"/>
      <name val="Calibri"/>
      <family val="2"/>
      <charset val="204"/>
      <scheme val="minor"/>
    </font>
    <font>
      <sz val="10"/>
      <name val="Times New Roman"/>
      <family val="1"/>
      <charset val="204"/>
    </font>
    <font>
      <b/>
      <sz val="10"/>
      <name val="Times New Roman"/>
      <family val="1"/>
      <charset val="204"/>
    </font>
    <font>
      <sz val="11"/>
      <name val="Calibri"/>
      <family val="2"/>
      <charset val="204"/>
    </font>
    <font>
      <sz val="11"/>
      <name val="Times New Roman"/>
      <family val="1"/>
      <charset val="204"/>
    </font>
    <font>
      <b/>
      <sz val="11"/>
      <name val="Times New Roman"/>
      <family val="1"/>
      <charset val="204"/>
    </font>
    <font>
      <b/>
      <sz val="12"/>
      <name val="Times New Roman"/>
      <family val="1"/>
      <charset val="204"/>
    </font>
    <font>
      <sz val="8"/>
      <name val="Times New Roman"/>
      <family val="1"/>
      <charset val="204"/>
    </font>
    <font>
      <b/>
      <sz val="8"/>
      <name val="Times New Roman"/>
      <family val="1"/>
      <charset val="204"/>
    </font>
    <font>
      <sz val="11"/>
      <color theme="1"/>
      <name val="Calibri"/>
      <family val="2"/>
      <charset val="204"/>
      <scheme val="minor"/>
    </font>
    <font>
      <sz val="14"/>
      <color theme="1"/>
      <name val="Calibri"/>
      <family val="2"/>
      <charset val="204"/>
      <scheme val="minor"/>
    </font>
    <font>
      <sz val="11"/>
      <color rgb="FF006100"/>
      <name val="Times New Roman"/>
      <family val="2"/>
      <charset val="204"/>
    </font>
    <font>
      <sz val="11"/>
      <color theme="1"/>
      <name val="Times New Roman"/>
      <family val="1"/>
      <charset val="204"/>
    </font>
    <font>
      <b/>
      <sz val="11"/>
      <color theme="1"/>
      <name val="Times New Roman"/>
      <family val="1"/>
      <charset val="204"/>
    </font>
    <font>
      <sz val="11"/>
      <name val="Calibri"/>
      <family val="2"/>
      <charset val="204"/>
      <scheme val="minor"/>
    </font>
    <font>
      <sz val="9"/>
      <name val="Times New Roman"/>
      <family val="1"/>
      <charset val="204"/>
    </font>
    <font>
      <b/>
      <i/>
      <sz val="10"/>
      <name val="Times New Roman"/>
      <family val="1"/>
      <charset val="204"/>
    </font>
    <font>
      <i/>
      <sz val="10"/>
      <name val="Times New Roman"/>
      <family val="1"/>
      <charset val="204"/>
    </font>
    <font>
      <sz val="10"/>
      <name val="Cambria"/>
      <family val="1"/>
      <charset val="204"/>
      <scheme val="major"/>
    </font>
    <font>
      <sz val="13"/>
      <name val="Times New Roman"/>
      <family val="1"/>
      <charset val="204"/>
    </font>
  </fonts>
  <fills count="5">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0" fillId="0" borderId="0"/>
    <xf numFmtId="164" fontId="9" fillId="0" borderId="0" applyFont="0" applyFill="0" applyBorder="0" applyAlignment="0" applyProtection="0"/>
    <xf numFmtId="0" fontId="11" fillId="2" borderId="0" applyNumberFormat="0" applyBorder="0" applyAlignment="0" applyProtection="0"/>
  </cellStyleXfs>
  <cellXfs count="212">
    <xf numFmtId="0" fontId="0" fillId="0" borderId="0" xfId="0"/>
    <xf numFmtId="0" fontId="3" fillId="0" borderId="0" xfId="0" applyFont="1" applyFill="1"/>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Border="1"/>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0" xfId="0" applyAlignment="1">
      <alignment vertical="top" wrapText="1"/>
    </xf>
    <xf numFmtId="0" fontId="6" fillId="0" borderId="3" xfId="0" applyFont="1" applyFill="1" applyBorder="1" applyAlignment="1">
      <alignment horizontal="center" vertical="center"/>
    </xf>
    <xf numFmtId="0" fontId="12" fillId="0" borderId="2" xfId="0" applyFont="1" applyBorder="1" applyAlignment="1">
      <alignment vertical="top" wrapText="1"/>
    </xf>
    <xf numFmtId="0" fontId="12" fillId="0" borderId="4" xfId="0" applyFont="1" applyBorder="1" applyAlignment="1">
      <alignment vertical="top" wrapText="1"/>
    </xf>
    <xf numFmtId="0" fontId="12" fillId="0" borderId="5" xfId="0" applyFont="1" applyBorder="1"/>
    <xf numFmtId="0" fontId="12" fillId="0" borderId="6" xfId="0" applyFont="1" applyBorder="1"/>
    <xf numFmtId="0" fontId="12" fillId="0" borderId="7" xfId="0" applyFont="1" applyBorder="1" applyAlignment="1">
      <alignment vertical="top" wrapText="1"/>
    </xf>
    <xf numFmtId="0" fontId="0" fillId="0" borderId="8" xfId="0" applyBorder="1"/>
    <xf numFmtId="0" fontId="0" fillId="0" borderId="9" xfId="0" applyBorder="1" applyAlignment="1">
      <alignment vertical="top" wrapText="1"/>
    </xf>
    <xf numFmtId="0" fontId="0" fillId="0" borderId="1" xfId="0" applyBorder="1"/>
    <xf numFmtId="0" fontId="0" fillId="0" borderId="10" xfId="0" applyBorder="1"/>
    <xf numFmtId="0" fontId="12" fillId="0" borderId="2" xfId="0" applyFont="1" applyBorder="1" applyAlignment="1">
      <alignment horizontal="center" vertical="center"/>
    </xf>
    <xf numFmtId="0" fontId="6" fillId="0" borderId="3" xfId="0" applyFont="1" applyFill="1" applyBorder="1" applyAlignment="1">
      <alignment horizontal="center" vertical="top" wrapText="1"/>
    </xf>
    <xf numFmtId="4" fontId="1" fillId="0" borderId="0" xfId="0" applyNumberFormat="1" applyFont="1"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4" fillId="0"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0" borderId="0" xfId="0" applyFont="1" applyFill="1"/>
    <xf numFmtId="0" fontId="4" fillId="0" borderId="0" xfId="0" applyFont="1" applyFill="1" applyAlignment="1">
      <alignment horizontal="center"/>
    </xf>
    <xf numFmtId="0" fontId="5"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3" xfId="0" applyFont="1" applyFill="1" applyBorder="1" applyAlignment="1">
      <alignment horizontal="center" vertical="top" wrapText="1"/>
    </xf>
    <xf numFmtId="4" fontId="4" fillId="0" borderId="3" xfId="0" applyNumberFormat="1" applyFont="1" applyFill="1" applyBorder="1" applyAlignment="1">
      <alignment horizontal="center" vertical="top"/>
    </xf>
    <xf numFmtId="4" fontId="4" fillId="0" borderId="5" xfId="0" applyNumberFormat="1" applyFont="1" applyFill="1" applyBorder="1" applyAlignment="1">
      <alignment horizontal="center" vertical="top"/>
    </xf>
    <xf numFmtId="0" fontId="4" fillId="0" borderId="5" xfId="0" applyFont="1" applyFill="1" applyBorder="1" applyAlignment="1">
      <alignment horizontal="center" vertical="top"/>
    </xf>
    <xf numFmtId="0" fontId="4" fillId="0" borderId="3" xfId="0" applyFont="1" applyFill="1" applyBorder="1" applyAlignment="1">
      <alignment horizontal="center" vertical="top"/>
    </xf>
    <xf numFmtId="4" fontId="4" fillId="0" borderId="11"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11" xfId="0" applyFont="1" applyFill="1" applyBorder="1" applyAlignment="1">
      <alignment horizontal="center" vertical="top"/>
    </xf>
    <xf numFmtId="4" fontId="4" fillId="0" borderId="12" xfId="0" applyNumberFormat="1" applyFont="1" applyFill="1" applyBorder="1" applyAlignment="1">
      <alignment horizontal="center" vertical="top"/>
    </xf>
    <xf numFmtId="4"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2" xfId="0" applyFont="1" applyFill="1" applyBorder="1" applyAlignment="1">
      <alignment horizontal="center" vertical="top"/>
    </xf>
    <xf numFmtId="4" fontId="5" fillId="0" borderId="2"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4" fillId="0" borderId="0" xfId="0" applyNumberFormat="1" applyFont="1" applyFill="1" applyAlignment="1">
      <alignment horizontal="center" vertical="center"/>
    </xf>
    <xf numFmtId="166" fontId="5" fillId="0" borderId="11"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top" wrapText="1"/>
    </xf>
    <xf numFmtId="0" fontId="1" fillId="0" borderId="0" xfId="0" applyFont="1" applyFill="1" applyBorder="1" applyAlignment="1">
      <alignment wrapText="1"/>
    </xf>
    <xf numFmtId="0" fontId="1" fillId="0" borderId="0" xfId="0" applyFont="1" applyFill="1" applyAlignment="1">
      <alignment wrapText="1"/>
    </xf>
    <xf numFmtId="0" fontId="0" fillId="0" borderId="0" xfId="0" applyFill="1"/>
    <xf numFmtId="0" fontId="0" fillId="0" borderId="0" xfId="0" applyFill="1" applyBorder="1"/>
    <xf numFmtId="0" fontId="14" fillId="0" borderId="0" xfId="0" applyFont="1" applyFill="1"/>
    <xf numFmtId="0" fontId="12" fillId="0" borderId="2" xfId="0" applyFont="1" applyBorder="1" applyAlignment="1">
      <alignment horizontal="left" vertical="center" wrapText="1"/>
    </xf>
    <xf numFmtId="0" fontId="0" fillId="0" borderId="0" xfId="0" applyBorder="1" applyAlignment="1">
      <alignment horizontal="center" vertical="center"/>
    </xf>
    <xf numFmtId="168" fontId="0" fillId="0" borderId="0" xfId="0" applyNumberFormat="1" applyBorder="1" applyAlignment="1">
      <alignment horizontal="center" vertical="center"/>
    </xf>
    <xf numFmtId="4" fontId="5" fillId="0" borderId="2" xfId="0" applyNumberFormat="1" applyFont="1" applyFill="1" applyBorder="1" applyAlignment="1">
      <alignment horizontal="center" vertical="top"/>
    </xf>
    <xf numFmtId="4" fontId="5" fillId="0" borderId="14" xfId="0" applyNumberFormat="1" applyFont="1" applyFill="1" applyBorder="1" applyAlignment="1">
      <alignment horizontal="center" vertical="top"/>
    </xf>
    <xf numFmtId="0" fontId="7" fillId="3" borderId="0" xfId="0" applyFont="1" applyFill="1"/>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xf>
    <xf numFmtId="4" fontId="4" fillId="0" borderId="0" xfId="0" applyNumberFormat="1" applyFont="1" applyFill="1" applyAlignment="1">
      <alignment horizontal="center"/>
    </xf>
    <xf numFmtId="4" fontId="4" fillId="0" borderId="0" xfId="0" applyNumberFormat="1" applyFont="1" applyFill="1"/>
    <xf numFmtId="0" fontId="7" fillId="3" borderId="2" xfId="0" applyFont="1" applyFill="1" applyBorder="1" applyAlignment="1">
      <alignment horizontal="left" vertical="center" wrapText="1"/>
    </xf>
    <xf numFmtId="0" fontId="5" fillId="0" borderId="11" xfId="0" applyNumberFormat="1" applyFont="1" applyFill="1" applyBorder="1" applyAlignment="1">
      <alignment horizontal="center" vertical="top"/>
    </xf>
    <xf numFmtId="0" fontId="5" fillId="0" borderId="12" xfId="0" applyNumberFormat="1" applyFont="1" applyFill="1" applyBorder="1" applyAlignment="1">
      <alignment horizontal="center" vertical="top"/>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8" fillId="3" borderId="0" xfId="0" applyFont="1" applyFill="1" applyAlignment="1">
      <alignment vertical="center"/>
    </xf>
    <xf numFmtId="0" fontId="8" fillId="3" borderId="0" xfId="0" applyFont="1" applyFill="1" applyBorder="1" applyAlignment="1"/>
    <xf numFmtId="0" fontId="7" fillId="0" borderId="0" xfId="0" applyFont="1" applyFill="1"/>
    <xf numFmtId="0" fontId="7" fillId="4" borderId="0" xfId="0" applyFont="1" applyFill="1"/>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center" vertical="top" wrapText="1"/>
    </xf>
    <xf numFmtId="0" fontId="2" fillId="0" borderId="2" xfId="0" applyFont="1" applyFill="1" applyBorder="1" applyAlignment="1" applyProtection="1">
      <alignment vertical="top" wrapText="1"/>
    </xf>
    <xf numFmtId="169" fontId="15" fillId="0" borderId="2" xfId="0" applyNumberFormat="1" applyFont="1" applyFill="1" applyBorder="1" applyAlignment="1" applyProtection="1">
      <alignment horizontal="center" vertical="top" wrapText="1"/>
    </xf>
    <xf numFmtId="169" fontId="15" fillId="0" borderId="2" xfId="0" applyNumberFormat="1" applyFont="1" applyFill="1" applyBorder="1" applyAlignment="1" applyProtection="1">
      <alignment horizontal="center" vertical="center" wrapText="1"/>
    </xf>
    <xf numFmtId="169" fontId="1" fillId="0" borderId="2" xfId="0" applyNumberFormat="1" applyFont="1" applyFill="1" applyBorder="1" applyAlignment="1" applyProtection="1">
      <alignment horizontal="center" vertical="center"/>
    </xf>
    <xf numFmtId="169" fontId="1" fillId="0" borderId="2" xfId="2" applyNumberFormat="1" applyFont="1" applyFill="1" applyBorder="1" applyAlignment="1" applyProtection="1">
      <alignment horizontal="center" vertical="center"/>
    </xf>
    <xf numFmtId="49" fontId="1" fillId="0" borderId="2" xfId="0" applyNumberFormat="1" applyFont="1" applyFill="1" applyBorder="1" applyAlignment="1" applyProtection="1">
      <alignment horizontal="center" vertical="top" wrapText="1"/>
    </xf>
    <xf numFmtId="0" fontId="1" fillId="0" borderId="2" xfId="0" applyFont="1" applyFill="1" applyBorder="1" applyAlignment="1" applyProtection="1">
      <alignment vertical="top" wrapText="1"/>
    </xf>
    <xf numFmtId="1"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0" fontId="1" fillId="3" borderId="0" xfId="0" applyNumberFormat="1" applyFont="1" applyFill="1"/>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0" xfId="0" applyFont="1" applyFill="1"/>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2" xfId="0" applyFont="1" applyFill="1" applyBorder="1" applyAlignment="1">
      <alignment vertical="top" wrapText="1"/>
    </xf>
    <xf numFmtId="0" fontId="1" fillId="3" borderId="2" xfId="0" applyFont="1" applyFill="1" applyBorder="1" applyAlignment="1">
      <alignment vertical="top" wrapText="1"/>
    </xf>
    <xf numFmtId="0" fontId="1" fillId="3" borderId="0" xfId="0" applyFont="1" applyFill="1" applyBorder="1" applyAlignment="1">
      <alignment horizontal="center" vertical="center"/>
    </xf>
    <xf numFmtId="0" fontId="1" fillId="3" borderId="0" xfId="0" applyFont="1" applyFill="1" applyBorder="1" applyAlignment="1">
      <alignment horizontal="center"/>
    </xf>
    <xf numFmtId="0" fontId="1" fillId="3" borderId="0" xfId="0" applyFont="1" applyFill="1" applyBorder="1"/>
    <xf numFmtId="0" fontId="1" fillId="3" borderId="8" xfId="0" applyFont="1" applyFill="1" applyBorder="1"/>
    <xf numFmtId="0" fontId="1" fillId="3" borderId="1" xfId="0" applyFont="1" applyFill="1" applyBorder="1"/>
    <xf numFmtId="0" fontId="1" fillId="3" borderId="1" xfId="0" applyFont="1" applyFill="1" applyBorder="1" applyAlignment="1">
      <alignment horizontal="center"/>
    </xf>
    <xf numFmtId="0" fontId="2" fillId="3" borderId="1" xfId="0" applyFont="1" applyFill="1" applyBorder="1" applyAlignment="1">
      <alignment horizontal="center"/>
    </xf>
    <xf numFmtId="0" fontId="1" fillId="3" borderId="10" xfId="0" applyFont="1" applyFill="1" applyBorder="1"/>
    <xf numFmtId="0" fontId="1" fillId="3" borderId="0" xfId="0" applyFont="1" applyFill="1" applyAlignment="1">
      <alignment horizontal="center"/>
    </xf>
    <xf numFmtId="0" fontId="2" fillId="3" borderId="0" xfId="0" applyFont="1" applyFill="1" applyAlignment="1">
      <alignment horizontal="center"/>
    </xf>
    <xf numFmtId="0" fontId="1" fillId="3" borderId="0" xfId="0" applyNumberFormat="1" applyFont="1" applyFill="1" applyAlignment="1">
      <alignment vertical="top" wrapText="1"/>
    </xf>
    <xf numFmtId="0" fontId="2" fillId="3" borderId="3" xfId="0" applyFont="1" applyFill="1" applyBorder="1" applyAlignment="1">
      <alignment vertical="top" wrapText="1"/>
    </xf>
    <xf numFmtId="0" fontId="1" fillId="3" borderId="2" xfId="0" applyNumberFormat="1" applyFont="1" applyFill="1" applyBorder="1" applyAlignment="1">
      <alignment vertical="top" wrapText="1"/>
    </xf>
    <xf numFmtId="0" fontId="2" fillId="3" borderId="2" xfId="0" applyFont="1" applyFill="1" applyBorder="1" applyAlignment="1">
      <alignment vertical="top" wrapText="1"/>
    </xf>
    <xf numFmtId="170" fontId="2" fillId="3" borderId="2" xfId="0" applyNumberFormat="1" applyFont="1" applyFill="1" applyBorder="1" applyAlignment="1">
      <alignment vertical="top" wrapText="1"/>
    </xf>
    <xf numFmtId="49" fontId="1" fillId="3" borderId="2" xfId="0" applyNumberFormat="1" applyFont="1" applyFill="1" applyBorder="1" applyAlignment="1">
      <alignment vertical="top" wrapText="1"/>
    </xf>
    <xf numFmtId="2" fontId="1" fillId="3" borderId="2" xfId="0" applyNumberFormat="1" applyFont="1" applyFill="1" applyBorder="1" applyAlignment="1">
      <alignment vertical="top" wrapText="1"/>
    </xf>
    <xf numFmtId="168" fontId="1" fillId="3" borderId="2" xfId="0" applyNumberFormat="1" applyFont="1" applyFill="1" applyBorder="1" applyAlignment="1">
      <alignment vertical="top" wrapText="1"/>
    </xf>
    <xf numFmtId="2" fontId="2" fillId="3" borderId="2" xfId="0" applyNumberFormat="1" applyFont="1" applyFill="1" applyBorder="1" applyAlignment="1">
      <alignment vertical="top" wrapText="1"/>
    </xf>
    <xf numFmtId="170" fontId="1" fillId="3" borderId="2" xfId="0" applyNumberFormat="1" applyFont="1" applyFill="1" applyBorder="1" applyAlignment="1">
      <alignment vertical="top" wrapText="1"/>
    </xf>
    <xf numFmtId="1" fontId="1" fillId="3" borderId="2" xfId="0" applyNumberFormat="1" applyFont="1" applyFill="1" applyBorder="1" applyAlignment="1">
      <alignment vertical="top" wrapText="1"/>
    </xf>
    <xf numFmtId="167" fontId="1" fillId="3" borderId="2" xfId="0" applyNumberFormat="1" applyFont="1" applyFill="1" applyBorder="1" applyAlignment="1">
      <alignment vertical="top" wrapText="1"/>
    </xf>
    <xf numFmtId="172" fontId="1" fillId="3" borderId="2" xfId="0" applyNumberFormat="1" applyFont="1" applyFill="1" applyBorder="1" applyAlignment="1">
      <alignment vertical="top" wrapText="1"/>
    </xf>
    <xf numFmtId="4" fontId="1" fillId="3" borderId="2" xfId="0" applyNumberFormat="1" applyFont="1" applyFill="1" applyBorder="1" applyAlignment="1">
      <alignment vertical="top" wrapText="1"/>
    </xf>
    <xf numFmtId="0" fontId="2" fillId="0" borderId="2" xfId="0" applyFont="1" applyFill="1" applyBorder="1" applyAlignment="1">
      <alignment vertical="top" wrapText="1"/>
    </xf>
    <xf numFmtId="2" fontId="1" fillId="0" borderId="2" xfId="0" applyNumberFormat="1" applyFont="1" applyFill="1" applyBorder="1" applyAlignment="1">
      <alignment vertical="top" wrapText="1"/>
    </xf>
    <xf numFmtId="4" fontId="1" fillId="0" borderId="2" xfId="0" applyNumberFormat="1" applyFont="1" applyFill="1" applyBorder="1" applyAlignment="1">
      <alignment vertical="top" wrapText="1"/>
    </xf>
    <xf numFmtId="1" fontId="1" fillId="0" borderId="2" xfId="0" applyNumberFormat="1" applyFont="1" applyFill="1" applyBorder="1" applyAlignment="1">
      <alignment vertical="top" wrapText="1"/>
    </xf>
    <xf numFmtId="3" fontId="1" fillId="3" borderId="2" xfId="0" applyNumberFormat="1" applyFont="1" applyFill="1" applyBorder="1" applyAlignment="1">
      <alignment vertical="top" wrapText="1"/>
    </xf>
    <xf numFmtId="165" fontId="1" fillId="3" borderId="2" xfId="0" applyNumberFormat="1" applyFont="1" applyFill="1" applyBorder="1" applyAlignment="1">
      <alignment vertical="top" wrapText="1"/>
    </xf>
    <xf numFmtId="0" fontId="16" fillId="3" borderId="2" xfId="0" applyNumberFormat="1" applyFont="1" applyFill="1" applyBorder="1" applyAlignment="1">
      <alignment vertical="top" wrapText="1"/>
    </xf>
    <xf numFmtId="14" fontId="1" fillId="3" borderId="2" xfId="0" applyNumberFormat="1" applyFont="1" applyFill="1" applyBorder="1" applyAlignment="1">
      <alignment vertical="top" wrapText="1"/>
    </xf>
    <xf numFmtId="4" fontId="2" fillId="3" borderId="2" xfId="0" applyNumberFormat="1" applyFont="1" applyFill="1" applyBorder="1" applyAlignment="1">
      <alignment vertical="top" wrapText="1"/>
    </xf>
    <xf numFmtId="171" fontId="1" fillId="3" borderId="2" xfId="0" applyNumberFormat="1" applyFont="1" applyFill="1" applyBorder="1" applyAlignment="1">
      <alignment vertical="top" wrapText="1"/>
    </xf>
    <xf numFmtId="0" fontId="17" fillId="3" borderId="2" xfId="0" applyFont="1" applyFill="1" applyBorder="1" applyAlignment="1">
      <alignment vertical="top" wrapText="1"/>
    </xf>
    <xf numFmtId="166" fontId="1" fillId="3" borderId="2" xfId="0" applyNumberFormat="1" applyFont="1" applyFill="1" applyBorder="1" applyAlignment="1">
      <alignment vertical="top" wrapText="1"/>
    </xf>
    <xf numFmtId="0" fontId="1" fillId="3" borderId="3" xfId="0" applyFont="1" applyFill="1" applyBorder="1" applyAlignment="1">
      <alignment vertical="top" wrapText="1"/>
    </xf>
    <xf numFmtId="0" fontId="2" fillId="3" borderId="0" xfId="0" applyFont="1" applyFill="1" applyBorder="1" applyAlignment="1">
      <alignment horizontal="center"/>
    </xf>
    <xf numFmtId="169" fontId="18" fillId="0" borderId="2" xfId="2" applyNumberFormat="1" applyFont="1" applyFill="1" applyBorder="1" applyAlignment="1" applyProtection="1">
      <alignment horizontal="center" vertical="center"/>
    </xf>
    <xf numFmtId="0" fontId="19" fillId="0" borderId="0" xfId="0" applyFont="1" applyFill="1" applyAlignment="1">
      <alignment horizontal="center"/>
    </xf>
    <xf numFmtId="0" fontId="19" fillId="0" borderId="0" xfId="0" applyFont="1" applyFill="1" applyBorder="1" applyAlignment="1">
      <alignment horizontal="center"/>
    </xf>
    <xf numFmtId="4" fontId="19" fillId="0" borderId="0" xfId="0" applyNumberFormat="1" applyFont="1" applyFill="1" applyAlignment="1">
      <alignment horizontal="center" vertical="center"/>
    </xf>
    <xf numFmtId="166" fontId="5" fillId="0" borderId="13" xfId="0" applyNumberFormat="1" applyFont="1" applyFill="1" applyBorder="1" applyAlignment="1">
      <alignment horizontal="center" vertical="center" wrapText="1"/>
    </xf>
    <xf numFmtId="166" fontId="5" fillId="0" borderId="15"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0" fontId="6" fillId="0" borderId="0" xfId="0" applyFont="1" applyFill="1" applyBorder="1" applyAlignment="1">
      <alignment horizontal="center" wrapText="1"/>
    </xf>
    <xf numFmtId="166" fontId="5" fillId="0" borderId="2"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4" fillId="0" borderId="2" xfId="0" applyFont="1" applyFill="1" applyBorder="1" applyAlignment="1">
      <alignment horizontal="left"/>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166" fontId="5" fillId="0" borderId="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6" fillId="3" borderId="2" xfId="0" applyFont="1" applyFill="1" applyBorder="1" applyAlignment="1">
      <alignment vertical="top" wrapText="1"/>
    </xf>
    <xf numFmtId="0" fontId="2" fillId="3" borderId="2" xfId="0" applyFont="1" applyFill="1" applyBorder="1" applyAlignment="1">
      <alignment vertical="top" wrapText="1"/>
    </xf>
    <xf numFmtId="0" fontId="16" fillId="3" borderId="4" xfId="0" applyFont="1" applyFill="1" applyBorder="1" applyAlignment="1">
      <alignment vertical="top"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 fillId="3" borderId="2" xfId="0" applyFont="1" applyFill="1" applyBorder="1" applyAlignment="1">
      <alignment vertical="top" wrapText="1"/>
    </xf>
    <xf numFmtId="2" fontId="1" fillId="3" borderId="2" xfId="0" applyNumberFormat="1" applyFont="1" applyFill="1" applyBorder="1" applyAlignment="1">
      <alignment vertical="top" wrapText="1"/>
    </xf>
    <xf numFmtId="0" fontId="1" fillId="3" borderId="3" xfId="0" applyFont="1" applyFill="1" applyBorder="1" applyAlignment="1">
      <alignment vertical="top" wrapText="1"/>
    </xf>
    <xf numFmtId="0" fontId="1" fillId="3" borderId="12" xfId="0" applyFont="1" applyFill="1" applyBorder="1" applyAlignment="1">
      <alignment vertical="top" wrapText="1"/>
    </xf>
    <xf numFmtId="0" fontId="1" fillId="3" borderId="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2" xfId="0" applyNumberFormat="1" applyFont="1" applyFill="1" applyBorder="1" applyAlignment="1">
      <alignment horizontal="center"/>
    </xf>
    <xf numFmtId="49" fontId="1" fillId="3" borderId="3" xfId="0" applyNumberFormat="1" applyFont="1" applyFill="1" applyBorder="1" applyAlignment="1">
      <alignment horizontal="center" vertical="top" wrapText="1"/>
    </xf>
    <xf numFmtId="49" fontId="1" fillId="3" borderId="11" xfId="0" applyNumberFormat="1" applyFont="1" applyFill="1" applyBorder="1" applyAlignment="1">
      <alignment horizontal="center" vertical="top" wrapText="1"/>
    </xf>
    <xf numFmtId="49" fontId="1" fillId="3" borderId="12" xfId="0" applyNumberFormat="1" applyFont="1" applyFill="1" applyBorder="1" applyAlignment="1">
      <alignment horizontal="center" vertical="top" wrapText="1"/>
    </xf>
    <xf numFmtId="0" fontId="1" fillId="3" borderId="3" xfId="0" applyNumberFormat="1" applyFont="1" applyFill="1" applyBorder="1" applyAlignment="1">
      <alignment horizontal="center" vertical="top" wrapText="1"/>
    </xf>
    <xf numFmtId="0" fontId="1" fillId="3" borderId="12" xfId="0" applyNumberFormat="1" applyFont="1" applyFill="1" applyBorder="1" applyAlignment="1">
      <alignment horizontal="center" vertical="top" wrapText="1"/>
    </xf>
    <xf numFmtId="0" fontId="1" fillId="3" borderId="11" xfId="0" applyNumberFormat="1" applyFont="1" applyFill="1" applyBorder="1" applyAlignment="1">
      <alignment horizontal="center" vertical="top" wrapText="1"/>
    </xf>
    <xf numFmtId="0" fontId="2" fillId="3" borderId="2" xfId="0" applyFont="1" applyFill="1" applyBorder="1" applyAlignment="1">
      <alignment horizontal="left" vertical="center" wrapText="1"/>
    </xf>
    <xf numFmtId="0" fontId="16" fillId="3" borderId="3" xfId="0" applyNumberFormat="1" applyFont="1" applyFill="1" applyBorder="1" applyAlignment="1">
      <alignment horizontal="center" vertical="top" wrapText="1"/>
    </xf>
    <xf numFmtId="0" fontId="16" fillId="3" borderId="11" xfId="0" applyNumberFormat="1" applyFont="1" applyFill="1" applyBorder="1" applyAlignment="1">
      <alignment horizontal="center" vertical="top" wrapText="1"/>
    </xf>
    <xf numFmtId="0" fontId="16" fillId="3" borderId="12" xfId="0"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6" fillId="3" borderId="11" xfId="0" applyFont="1" applyFill="1" applyBorder="1" applyAlignment="1">
      <alignment horizontal="center" vertical="top" wrapText="1"/>
    </xf>
    <xf numFmtId="0" fontId="13" fillId="0" borderId="0" xfId="0" applyFont="1" applyAlignment="1">
      <alignment horizontal="center"/>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2" fontId="1" fillId="3" borderId="3" xfId="0" applyNumberFormat="1" applyFont="1" applyFill="1" applyBorder="1" applyAlignment="1">
      <alignment vertical="top" wrapText="1"/>
    </xf>
    <xf numFmtId="0" fontId="1" fillId="3" borderId="0" xfId="0" applyFont="1" applyFill="1" applyBorder="1" applyAlignment="1">
      <alignment vertical="top" wrapText="1"/>
    </xf>
    <xf numFmtId="168" fontId="1" fillId="3" borderId="0" xfId="0" applyNumberFormat="1" applyFont="1" applyFill="1" applyBorder="1" applyAlignment="1">
      <alignment horizontal="center" vertical="center"/>
    </xf>
    <xf numFmtId="0" fontId="1" fillId="3" borderId="4" xfId="0" applyNumberFormat="1" applyFont="1" applyFill="1" applyBorder="1"/>
    <xf numFmtId="0" fontId="2" fillId="3" borderId="5" xfId="0" applyFont="1" applyFill="1" applyBorder="1" applyAlignment="1">
      <alignment vertical="top" wrapText="1"/>
    </xf>
    <xf numFmtId="0" fontId="1" fillId="3" borderId="5" xfId="0" applyFont="1" applyFill="1" applyBorder="1" applyAlignment="1">
      <alignment horizontal="center" vertical="center"/>
    </xf>
    <xf numFmtId="0" fontId="1" fillId="3" borderId="5" xfId="0" applyFont="1" applyFill="1" applyBorder="1" applyAlignment="1">
      <alignment horizontal="center"/>
    </xf>
    <xf numFmtId="0" fontId="2" fillId="3" borderId="5" xfId="0" applyFont="1" applyFill="1" applyBorder="1" applyAlignment="1">
      <alignment horizontal="center"/>
    </xf>
    <xf numFmtId="0" fontId="1" fillId="3" borderId="5" xfId="0" applyFont="1" applyFill="1" applyBorder="1"/>
    <xf numFmtId="0" fontId="1" fillId="3" borderId="6" xfId="0" applyFont="1" applyFill="1" applyBorder="1"/>
    <xf numFmtId="0" fontId="1" fillId="3" borderId="7" xfId="0" applyNumberFormat="1" applyFont="1" applyFill="1" applyBorder="1"/>
    <xf numFmtId="0" fontId="1" fillId="3" borderId="9" xfId="0" applyNumberFormat="1" applyFont="1" applyFill="1" applyBorder="1"/>
    <xf numFmtId="0" fontId="1" fillId="3" borderId="1" xfId="0" applyFont="1" applyFill="1" applyBorder="1" applyAlignment="1">
      <alignment vertical="top" wrapText="1"/>
    </xf>
  </cellXfs>
  <cellStyles count="4">
    <cellStyle name="Обычный" xfId="0" builtinId="0"/>
    <cellStyle name="Обычный 2" xfId="1"/>
    <cellStyle name="Финансовый" xfId="2" builtinId="3"/>
    <cellStyle name="Хороший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05"/>
  <sheetViews>
    <sheetView tabSelected="1" zoomScaleNormal="100" workbookViewId="0">
      <selection activeCell="B98" sqref="B98:H98"/>
    </sheetView>
  </sheetViews>
  <sheetFormatPr defaultRowHeight="15"/>
  <cols>
    <col min="1" max="1" width="6" style="26" customWidth="1"/>
    <col min="2" max="2" width="33.28515625" style="49" customWidth="1"/>
    <col min="3" max="3" width="17.5703125" style="27" customWidth="1"/>
    <col min="4" max="4" width="14" style="27" customWidth="1"/>
    <col min="5" max="5" width="14.42578125" style="20" customWidth="1"/>
    <col min="6" max="6" width="12.5703125" style="20" customWidth="1"/>
    <col min="7" max="7" width="13.28515625" style="20" customWidth="1"/>
    <col min="8" max="8" width="14.85546875" style="21" customWidth="1"/>
    <col min="9" max="9" width="11.42578125" style="21" customWidth="1"/>
    <col min="10" max="10" width="13.140625" style="21" customWidth="1"/>
    <col min="11" max="11" width="13.28515625" style="21" customWidth="1"/>
    <col min="12" max="12" width="13.5703125" style="21" customWidth="1"/>
    <col min="13" max="13" width="17.85546875" style="22" customWidth="1"/>
    <col min="14" max="14" width="21.85546875" style="22" customWidth="1"/>
    <col min="15" max="16" width="9.140625" style="52"/>
    <col min="17" max="16384" width="9.140625" style="50"/>
  </cols>
  <sheetData>
    <row r="1" spans="1:16" ht="15.75">
      <c r="B1" s="151" t="s">
        <v>222</v>
      </c>
      <c r="C1" s="151"/>
      <c r="D1" s="151"/>
      <c r="E1" s="151"/>
      <c r="F1" s="151"/>
      <c r="G1" s="151"/>
      <c r="H1" s="151"/>
      <c r="I1" s="151"/>
      <c r="J1" s="151"/>
      <c r="K1" s="151"/>
      <c r="L1" s="151"/>
      <c r="M1" s="151"/>
      <c r="N1" s="151"/>
      <c r="O1" s="151"/>
      <c r="P1" s="151"/>
    </row>
    <row r="2" spans="1:16" ht="15.75">
      <c r="B2" s="152" t="s">
        <v>425</v>
      </c>
      <c r="C2" s="152"/>
      <c r="D2" s="152"/>
      <c r="E2" s="152"/>
      <c r="F2" s="152"/>
      <c r="G2" s="152"/>
      <c r="H2" s="152"/>
      <c r="I2" s="152"/>
      <c r="J2" s="152"/>
      <c r="K2" s="152"/>
      <c r="L2" s="152"/>
      <c r="M2" s="152"/>
      <c r="N2" s="152"/>
      <c r="O2" s="152"/>
      <c r="P2" s="152"/>
    </row>
    <row r="3" spans="1:16" ht="15.75">
      <c r="B3" s="153" t="s">
        <v>223</v>
      </c>
      <c r="C3" s="153"/>
      <c r="D3" s="153"/>
      <c r="E3" s="153"/>
      <c r="F3" s="153"/>
      <c r="G3" s="153"/>
      <c r="H3" s="153"/>
      <c r="I3" s="153"/>
      <c r="J3" s="153"/>
      <c r="K3" s="153"/>
      <c r="L3" s="153"/>
      <c r="M3" s="153"/>
      <c r="N3" s="153"/>
      <c r="O3" s="153"/>
      <c r="P3" s="153"/>
    </row>
    <row r="4" spans="1:16" ht="15.75">
      <c r="A4" s="3"/>
      <c r="B4" s="153" t="s">
        <v>38</v>
      </c>
      <c r="C4" s="153"/>
      <c r="D4" s="153"/>
      <c r="E4" s="153"/>
      <c r="F4" s="153"/>
      <c r="G4" s="153"/>
      <c r="H4" s="153"/>
      <c r="I4" s="153"/>
      <c r="J4" s="153"/>
      <c r="K4" s="153"/>
      <c r="L4" s="153"/>
      <c r="M4" s="153"/>
      <c r="N4" s="153"/>
      <c r="O4" s="153"/>
      <c r="P4" s="153"/>
    </row>
    <row r="5" spans="1:16" s="51" customFormat="1" ht="15.75">
      <c r="A5" s="3"/>
      <c r="B5" s="2"/>
      <c r="C5" s="28"/>
      <c r="D5" s="28"/>
      <c r="E5" s="29"/>
      <c r="F5" s="29"/>
      <c r="G5" s="29"/>
      <c r="H5" s="24"/>
      <c r="I5" s="24"/>
      <c r="J5" s="24"/>
      <c r="K5" s="24"/>
      <c r="L5" s="24"/>
      <c r="M5" s="59"/>
      <c r="N5" s="59"/>
      <c r="O5" s="24"/>
      <c r="P5" s="24"/>
    </row>
    <row r="6" spans="1:16" s="51" customFormat="1">
      <c r="A6" s="146"/>
      <c r="B6" s="146" t="s">
        <v>0</v>
      </c>
      <c r="C6" s="148" t="s">
        <v>1</v>
      </c>
      <c r="D6" s="148" t="s">
        <v>2</v>
      </c>
      <c r="E6" s="148" t="s">
        <v>3</v>
      </c>
      <c r="F6" s="148"/>
      <c r="G6" s="148"/>
      <c r="H6" s="148"/>
      <c r="I6" s="148" t="s">
        <v>4</v>
      </c>
      <c r="J6" s="148"/>
      <c r="K6" s="148"/>
      <c r="L6" s="148"/>
      <c r="M6" s="146" t="s">
        <v>11</v>
      </c>
      <c r="N6" s="146" t="s">
        <v>10</v>
      </c>
      <c r="O6" s="24"/>
      <c r="P6" s="24"/>
    </row>
    <row r="7" spans="1:16" s="51" customFormat="1">
      <c r="A7" s="146"/>
      <c r="B7" s="146"/>
      <c r="C7" s="148"/>
      <c r="D7" s="148"/>
      <c r="E7" s="148" t="s">
        <v>5</v>
      </c>
      <c r="F7" s="148" t="s">
        <v>6</v>
      </c>
      <c r="G7" s="148"/>
      <c r="H7" s="148"/>
      <c r="I7" s="148" t="s">
        <v>5</v>
      </c>
      <c r="J7" s="148" t="s">
        <v>6</v>
      </c>
      <c r="K7" s="148"/>
      <c r="L7" s="148"/>
      <c r="M7" s="146"/>
      <c r="N7" s="146"/>
      <c r="O7" s="24"/>
      <c r="P7" s="24"/>
    </row>
    <row r="8" spans="1:16" s="51" customFormat="1" ht="28.5">
      <c r="A8" s="146"/>
      <c r="B8" s="146"/>
      <c r="C8" s="148"/>
      <c r="D8" s="148"/>
      <c r="E8" s="148"/>
      <c r="F8" s="81" t="s">
        <v>7</v>
      </c>
      <c r="G8" s="81" t="s">
        <v>9</v>
      </c>
      <c r="H8" s="81" t="s">
        <v>8</v>
      </c>
      <c r="I8" s="148"/>
      <c r="J8" s="81" t="s">
        <v>7</v>
      </c>
      <c r="K8" s="81" t="s">
        <v>9</v>
      </c>
      <c r="L8" s="81" t="s">
        <v>8</v>
      </c>
      <c r="M8" s="146"/>
      <c r="N8" s="146"/>
      <c r="O8" s="24"/>
      <c r="P8" s="24"/>
    </row>
    <row r="9" spans="1:16" s="51" customFormat="1">
      <c r="A9" s="146"/>
      <c r="B9" s="91">
        <v>1</v>
      </c>
      <c r="C9" s="91">
        <v>2</v>
      </c>
      <c r="D9" s="91">
        <v>3</v>
      </c>
      <c r="E9" s="92">
        <v>4</v>
      </c>
      <c r="F9" s="92">
        <v>5</v>
      </c>
      <c r="G9" s="92">
        <v>6</v>
      </c>
      <c r="H9" s="92">
        <v>7</v>
      </c>
      <c r="I9" s="92">
        <v>8</v>
      </c>
      <c r="J9" s="92">
        <v>9</v>
      </c>
      <c r="K9" s="92">
        <v>10</v>
      </c>
      <c r="L9" s="92">
        <v>11</v>
      </c>
      <c r="M9" s="92">
        <v>12</v>
      </c>
      <c r="N9" s="92">
        <v>13</v>
      </c>
      <c r="O9" s="24"/>
      <c r="P9" s="24"/>
    </row>
    <row r="10" spans="1:16">
      <c r="A10" s="80"/>
      <c r="B10" s="147" t="s">
        <v>39</v>
      </c>
      <c r="C10" s="147"/>
      <c r="D10" s="147"/>
      <c r="E10" s="147"/>
      <c r="F10" s="147"/>
      <c r="G10" s="147"/>
      <c r="H10" s="147"/>
      <c r="I10" s="147"/>
      <c r="J10" s="147"/>
      <c r="K10" s="147"/>
      <c r="L10" s="147"/>
      <c r="M10" s="147"/>
      <c r="N10" s="147"/>
      <c r="O10" s="26"/>
      <c r="P10" s="26"/>
    </row>
    <row r="11" spans="1:16" ht="25.5">
      <c r="A11" s="83" t="s">
        <v>43</v>
      </c>
      <c r="B11" s="84" t="s">
        <v>44</v>
      </c>
      <c r="C11" s="85"/>
      <c r="D11" s="86"/>
      <c r="E11" s="87">
        <f>SUM(F11:H11)</f>
        <v>40108.050000000003</v>
      </c>
      <c r="F11" s="87">
        <f>F12+F16+F17+F18+F19+F20+F21+F26+F30</f>
        <v>0</v>
      </c>
      <c r="G11" s="87">
        <v>3758.58</v>
      </c>
      <c r="H11" s="87">
        <f>H12+H16+H18+H19+H20+H21+H26+H30</f>
        <v>36349.47</v>
      </c>
      <c r="I11" s="87">
        <f>I12+I16+I17+I18+I19+I20+I21+I26+I30</f>
        <v>22113.722999999994</v>
      </c>
      <c r="J11" s="87">
        <f>J12+J16+J17+J18+J19+J20+J21+J26+J30</f>
        <v>3019.15</v>
      </c>
      <c r="K11" s="87">
        <f>K12+K16+K17+K18+K19+K20+K21+K26+K30</f>
        <v>1028.453</v>
      </c>
      <c r="L11" s="87">
        <f>L12+L16+L17+L18+L19+L20+L21+L26+L30</f>
        <v>18066.119999999995</v>
      </c>
      <c r="M11" s="60"/>
      <c r="N11" s="60"/>
      <c r="O11" s="26"/>
      <c r="P11" s="26"/>
    </row>
    <row r="12" spans="1:16" ht="76.5">
      <c r="A12" s="83" t="s">
        <v>45</v>
      </c>
      <c r="B12" s="84" t="s">
        <v>46</v>
      </c>
      <c r="C12" s="85"/>
      <c r="D12" s="86"/>
      <c r="E12" s="87">
        <f t="shared" ref="E12:E75" si="0">SUM(F12:H12)</f>
        <v>27502.06</v>
      </c>
      <c r="F12" s="87">
        <f>SUM(F13:F15)</f>
        <v>0</v>
      </c>
      <c r="G12" s="87">
        <v>0</v>
      </c>
      <c r="H12" s="87">
        <f>H13+H14+H15</f>
        <v>27502.06</v>
      </c>
      <c r="I12" s="88">
        <f>I13+I14+I15</f>
        <v>10256.179999999998</v>
      </c>
      <c r="J12" s="88">
        <f>J13+J14+J15</f>
        <v>0</v>
      </c>
      <c r="K12" s="88">
        <f>K13+K14+K15</f>
        <v>0</v>
      </c>
      <c r="L12" s="88">
        <f>L13+L14+L15</f>
        <v>10256.179999999998</v>
      </c>
      <c r="M12" s="60" t="s">
        <v>421</v>
      </c>
      <c r="N12" s="60" t="s">
        <v>421</v>
      </c>
      <c r="O12" s="26"/>
      <c r="P12" s="26"/>
    </row>
    <row r="13" spans="1:16" ht="25.5">
      <c r="A13" s="89"/>
      <c r="B13" s="90" t="s">
        <v>47</v>
      </c>
      <c r="C13" s="85" t="s">
        <v>48</v>
      </c>
      <c r="D13" s="86" t="s">
        <v>49</v>
      </c>
      <c r="E13" s="87">
        <f t="shared" si="0"/>
        <v>14089.32</v>
      </c>
      <c r="F13" s="87">
        <v>0</v>
      </c>
      <c r="G13" s="87">
        <v>0</v>
      </c>
      <c r="H13" s="87">
        <v>14089.32</v>
      </c>
      <c r="I13" s="88">
        <f>SUM(J13:L13)</f>
        <v>6381.78</v>
      </c>
      <c r="J13" s="88">
        <v>0</v>
      </c>
      <c r="K13" s="88">
        <v>0</v>
      </c>
      <c r="L13" s="88">
        <v>6381.78</v>
      </c>
      <c r="M13" s="60" t="s">
        <v>418</v>
      </c>
      <c r="N13" s="60" t="s">
        <v>419</v>
      </c>
      <c r="O13" s="26"/>
      <c r="P13" s="26"/>
    </row>
    <row r="14" spans="1:16" ht="25.5">
      <c r="A14" s="89"/>
      <c r="B14" s="90" t="s">
        <v>50</v>
      </c>
      <c r="C14" s="85" t="s">
        <v>48</v>
      </c>
      <c r="D14" s="86" t="s">
        <v>49</v>
      </c>
      <c r="E14" s="87">
        <f t="shared" si="0"/>
        <v>8092.61</v>
      </c>
      <c r="F14" s="87">
        <v>0</v>
      </c>
      <c r="G14" s="87">
        <v>0</v>
      </c>
      <c r="H14" s="87">
        <v>8092.61</v>
      </c>
      <c r="I14" s="88">
        <f t="shared" ref="I14:I77" si="1">SUM(J14:L14)</f>
        <v>2226.34</v>
      </c>
      <c r="J14" s="88">
        <v>0</v>
      </c>
      <c r="K14" s="88">
        <v>0</v>
      </c>
      <c r="L14" s="88">
        <v>2226.34</v>
      </c>
      <c r="M14" s="60" t="s">
        <v>418</v>
      </c>
      <c r="N14" s="60" t="s">
        <v>419</v>
      </c>
      <c r="O14" s="26"/>
      <c r="P14" s="26"/>
    </row>
    <row r="15" spans="1:16" ht="25.5">
      <c r="A15" s="89"/>
      <c r="B15" s="90" t="s">
        <v>51</v>
      </c>
      <c r="C15" s="85" t="s">
        <v>48</v>
      </c>
      <c r="D15" s="86" t="s">
        <v>49</v>
      </c>
      <c r="E15" s="87">
        <f t="shared" si="0"/>
        <v>5320.13</v>
      </c>
      <c r="F15" s="87">
        <v>0</v>
      </c>
      <c r="G15" s="87">
        <v>0</v>
      </c>
      <c r="H15" s="87">
        <v>5320.13</v>
      </c>
      <c r="I15" s="88">
        <f t="shared" si="1"/>
        <v>1648.06</v>
      </c>
      <c r="J15" s="88">
        <v>0</v>
      </c>
      <c r="K15" s="88">
        <v>0</v>
      </c>
      <c r="L15" s="88">
        <v>1648.06</v>
      </c>
      <c r="M15" s="60" t="s">
        <v>418</v>
      </c>
      <c r="N15" s="60" t="s">
        <v>419</v>
      </c>
      <c r="O15" s="26"/>
      <c r="P15" s="26"/>
    </row>
    <row r="16" spans="1:16" ht="63.75">
      <c r="A16" s="83" t="s">
        <v>52</v>
      </c>
      <c r="B16" s="84" t="s">
        <v>53</v>
      </c>
      <c r="C16" s="85" t="s">
        <v>54</v>
      </c>
      <c r="D16" s="86" t="s">
        <v>49</v>
      </c>
      <c r="E16" s="87">
        <f t="shared" si="0"/>
        <v>350</v>
      </c>
      <c r="F16" s="87">
        <v>0</v>
      </c>
      <c r="G16" s="87">
        <v>0</v>
      </c>
      <c r="H16" s="87">
        <v>350</v>
      </c>
      <c r="I16" s="88">
        <f t="shared" si="1"/>
        <v>4473.6400000000003</v>
      </c>
      <c r="J16" s="88">
        <v>0</v>
      </c>
      <c r="K16" s="88">
        <v>0</v>
      </c>
      <c r="L16" s="88">
        <f>2013.62+1907.91+2.04+223.47+326.6</f>
        <v>4473.6400000000003</v>
      </c>
      <c r="M16" s="60" t="s">
        <v>420</v>
      </c>
      <c r="N16" s="60" t="s">
        <v>421</v>
      </c>
      <c r="O16" s="26"/>
      <c r="P16" s="26"/>
    </row>
    <row r="17" spans="1:16" ht="51">
      <c r="A17" s="83" t="s">
        <v>55</v>
      </c>
      <c r="B17" s="84" t="s">
        <v>56</v>
      </c>
      <c r="C17" s="85" t="s">
        <v>48</v>
      </c>
      <c r="D17" s="86" t="s">
        <v>57</v>
      </c>
      <c r="E17" s="87">
        <f t="shared" si="0"/>
        <v>0</v>
      </c>
      <c r="F17" s="87">
        <v>0</v>
      </c>
      <c r="G17" s="87">
        <v>0</v>
      </c>
      <c r="H17" s="87">
        <v>0</v>
      </c>
      <c r="I17" s="88">
        <f t="shared" si="1"/>
        <v>1872.85</v>
      </c>
      <c r="J17" s="88">
        <v>0</v>
      </c>
      <c r="K17" s="88">
        <v>0</v>
      </c>
      <c r="L17" s="88">
        <v>1872.85</v>
      </c>
      <c r="M17" s="60" t="s">
        <v>420</v>
      </c>
      <c r="N17" s="60" t="s">
        <v>421</v>
      </c>
      <c r="O17" s="26"/>
      <c r="P17" s="26"/>
    </row>
    <row r="18" spans="1:16" ht="51">
      <c r="A18" s="83" t="s">
        <v>58</v>
      </c>
      <c r="B18" s="84" t="s">
        <v>59</v>
      </c>
      <c r="C18" s="85" t="s">
        <v>54</v>
      </c>
      <c r="D18" s="86" t="s">
        <v>49</v>
      </c>
      <c r="E18" s="87">
        <f t="shared" si="0"/>
        <v>1860</v>
      </c>
      <c r="F18" s="87">
        <v>0</v>
      </c>
      <c r="G18" s="87">
        <v>0</v>
      </c>
      <c r="H18" s="87">
        <v>1860</v>
      </c>
      <c r="I18" s="88">
        <f t="shared" si="1"/>
        <v>759.03</v>
      </c>
      <c r="J18" s="88">
        <v>0</v>
      </c>
      <c r="K18" s="88">
        <v>0</v>
      </c>
      <c r="L18" s="88">
        <v>759.03</v>
      </c>
      <c r="M18" s="60" t="s">
        <v>418</v>
      </c>
      <c r="N18" s="60" t="s">
        <v>419</v>
      </c>
      <c r="O18" s="26"/>
      <c r="P18" s="26"/>
    </row>
    <row r="19" spans="1:16" ht="108">
      <c r="A19" s="83" t="s">
        <v>60</v>
      </c>
      <c r="B19" s="84" t="s">
        <v>61</v>
      </c>
      <c r="C19" s="85" t="s">
        <v>62</v>
      </c>
      <c r="D19" s="86" t="s">
        <v>49</v>
      </c>
      <c r="E19" s="87">
        <f t="shared" si="0"/>
        <v>5852.41</v>
      </c>
      <c r="F19" s="87">
        <v>0</v>
      </c>
      <c r="G19" s="87">
        <v>0</v>
      </c>
      <c r="H19" s="87">
        <v>5852.41</v>
      </c>
      <c r="I19" s="88">
        <f>SUM(J19:L19)</f>
        <v>122.2</v>
      </c>
      <c r="J19" s="88">
        <v>0</v>
      </c>
      <c r="K19" s="88">
        <v>0</v>
      </c>
      <c r="L19" s="88">
        <v>122.2</v>
      </c>
      <c r="M19" s="60" t="s">
        <v>418</v>
      </c>
      <c r="N19" s="60" t="s">
        <v>419</v>
      </c>
      <c r="O19" s="26"/>
      <c r="P19" s="26"/>
    </row>
    <row r="20" spans="1:16" ht="63.75">
      <c r="A20" s="83" t="s">
        <v>63</v>
      </c>
      <c r="B20" s="84" t="s">
        <v>64</v>
      </c>
      <c r="C20" s="85" t="s">
        <v>48</v>
      </c>
      <c r="D20" s="86" t="s">
        <v>49</v>
      </c>
      <c r="E20" s="87">
        <f t="shared" si="0"/>
        <v>635</v>
      </c>
      <c r="F20" s="87">
        <v>0</v>
      </c>
      <c r="G20" s="87">
        <v>0</v>
      </c>
      <c r="H20" s="87">
        <v>635</v>
      </c>
      <c r="I20" s="88">
        <f t="shared" si="1"/>
        <v>57.76</v>
      </c>
      <c r="J20" s="88">
        <v>0</v>
      </c>
      <c r="K20" s="88">
        <v>0</v>
      </c>
      <c r="L20" s="88">
        <v>57.76</v>
      </c>
      <c r="M20" s="60" t="s">
        <v>418</v>
      </c>
      <c r="N20" s="60" t="s">
        <v>419</v>
      </c>
      <c r="O20" s="26"/>
      <c r="P20" s="26"/>
    </row>
    <row r="21" spans="1:16" ht="84">
      <c r="A21" s="83" t="s">
        <v>65</v>
      </c>
      <c r="B21" s="84" t="s">
        <v>66</v>
      </c>
      <c r="C21" s="85" t="s">
        <v>67</v>
      </c>
      <c r="D21" s="86" t="s">
        <v>68</v>
      </c>
      <c r="E21" s="87">
        <f t="shared" si="0"/>
        <v>2044</v>
      </c>
      <c r="F21" s="87">
        <f>F22+F23+F24+F25</f>
        <v>0</v>
      </c>
      <c r="G21" s="87">
        <v>2044</v>
      </c>
      <c r="H21" s="87">
        <v>0</v>
      </c>
      <c r="I21" s="88">
        <f t="shared" si="1"/>
        <v>2522.0830000000001</v>
      </c>
      <c r="J21" s="88">
        <f>J22+J23+J24+J25</f>
        <v>1840.77</v>
      </c>
      <c r="K21" s="88">
        <f>K22+K23+K24+K25</f>
        <v>156.85300000000001</v>
      </c>
      <c r="L21" s="88">
        <f>L22+L23+L24+L25</f>
        <v>524.46</v>
      </c>
      <c r="M21" s="60" t="s">
        <v>421</v>
      </c>
      <c r="N21" s="60" t="s">
        <v>421</v>
      </c>
      <c r="O21" s="26"/>
      <c r="P21" s="26"/>
    </row>
    <row r="22" spans="1:16" ht="89.25">
      <c r="A22" s="89"/>
      <c r="B22" s="90" t="s">
        <v>69</v>
      </c>
      <c r="C22" s="85" t="s">
        <v>70</v>
      </c>
      <c r="D22" s="86" t="s">
        <v>68</v>
      </c>
      <c r="E22" s="87">
        <f t="shared" si="0"/>
        <v>0</v>
      </c>
      <c r="F22" s="87">
        <v>0</v>
      </c>
      <c r="G22" s="87">
        <v>0</v>
      </c>
      <c r="H22" s="87">
        <v>0</v>
      </c>
      <c r="I22" s="88">
        <f t="shared" si="1"/>
        <v>0</v>
      </c>
      <c r="J22" s="88">
        <v>0</v>
      </c>
      <c r="K22" s="88">
        <v>0</v>
      </c>
      <c r="L22" s="88">
        <v>0</v>
      </c>
      <c r="M22" s="60" t="s">
        <v>422</v>
      </c>
      <c r="N22" s="60" t="s">
        <v>421</v>
      </c>
      <c r="O22" s="26"/>
      <c r="P22" s="26"/>
    </row>
    <row r="23" spans="1:16" ht="89.25">
      <c r="A23" s="89"/>
      <c r="B23" s="90" t="s">
        <v>71</v>
      </c>
      <c r="C23" s="85" t="s">
        <v>67</v>
      </c>
      <c r="D23" s="86" t="s">
        <v>68</v>
      </c>
      <c r="E23" s="87">
        <f t="shared" si="0"/>
        <v>0</v>
      </c>
      <c r="F23" s="87">
        <v>0</v>
      </c>
      <c r="G23" s="87">
        <v>0</v>
      </c>
      <c r="H23" s="87">
        <v>0</v>
      </c>
      <c r="I23" s="88">
        <f t="shared" si="1"/>
        <v>0</v>
      </c>
      <c r="J23" s="88">
        <v>0</v>
      </c>
      <c r="K23" s="88">
        <v>0</v>
      </c>
      <c r="L23" s="88">
        <v>0</v>
      </c>
      <c r="M23" s="60" t="s">
        <v>422</v>
      </c>
      <c r="N23" s="60" t="s">
        <v>421</v>
      </c>
      <c r="O23" s="26"/>
      <c r="P23" s="26"/>
    </row>
    <row r="24" spans="1:16" ht="84">
      <c r="A24" s="89"/>
      <c r="B24" s="90" t="s">
        <v>72</v>
      </c>
      <c r="C24" s="85" t="s">
        <v>73</v>
      </c>
      <c r="D24" s="86" t="s">
        <v>68</v>
      </c>
      <c r="E24" s="87">
        <f t="shared" si="0"/>
        <v>0</v>
      </c>
      <c r="F24" s="87">
        <v>0</v>
      </c>
      <c r="G24" s="87">
        <v>0</v>
      </c>
      <c r="H24" s="87">
        <v>0</v>
      </c>
      <c r="I24" s="88">
        <f t="shared" si="1"/>
        <v>0</v>
      </c>
      <c r="J24" s="88">
        <v>0</v>
      </c>
      <c r="K24" s="88">
        <v>0</v>
      </c>
      <c r="L24" s="88">
        <v>0</v>
      </c>
      <c r="M24" s="60" t="s">
        <v>422</v>
      </c>
      <c r="N24" s="60" t="s">
        <v>421</v>
      </c>
      <c r="O24" s="26"/>
      <c r="P24" s="26"/>
    </row>
    <row r="25" spans="1:16" ht="24">
      <c r="A25" s="89"/>
      <c r="B25" s="90" t="s">
        <v>74</v>
      </c>
      <c r="C25" s="85" t="s">
        <v>75</v>
      </c>
      <c r="D25" s="86" t="s">
        <v>49</v>
      </c>
      <c r="E25" s="87">
        <f t="shared" si="0"/>
        <v>2044</v>
      </c>
      <c r="F25" s="87">
        <v>0</v>
      </c>
      <c r="G25" s="87">
        <v>2044</v>
      </c>
      <c r="H25" s="87">
        <v>0</v>
      </c>
      <c r="I25" s="88">
        <f>SUM(J25:L25)</f>
        <v>2522.0830000000001</v>
      </c>
      <c r="J25" s="88">
        <f>406.92+1433.85</f>
        <v>1840.77</v>
      </c>
      <c r="K25" s="88">
        <v>156.85300000000001</v>
      </c>
      <c r="L25" s="88">
        <f>187.05+337.41</f>
        <v>524.46</v>
      </c>
      <c r="M25" s="60" t="s">
        <v>420</v>
      </c>
      <c r="N25" s="60" t="s">
        <v>421</v>
      </c>
      <c r="O25" s="26"/>
      <c r="P25" s="26"/>
    </row>
    <row r="26" spans="1:16" ht="38.25">
      <c r="A26" s="83" t="s">
        <v>76</v>
      </c>
      <c r="B26" s="84" t="s">
        <v>77</v>
      </c>
      <c r="C26" s="85" t="s">
        <v>75</v>
      </c>
      <c r="D26" s="86" t="s">
        <v>49</v>
      </c>
      <c r="E26" s="87">
        <f t="shared" si="0"/>
        <v>1714.58</v>
      </c>
      <c r="F26" s="87">
        <f>F27+F28+F29</f>
        <v>0</v>
      </c>
      <c r="G26" s="87">
        <v>1714.58</v>
      </c>
      <c r="H26" s="87">
        <v>0</v>
      </c>
      <c r="I26" s="88">
        <f>I27+I28+I29</f>
        <v>2049.98</v>
      </c>
      <c r="J26" s="88">
        <f>J27+J28+J29</f>
        <v>1178.3800000000001</v>
      </c>
      <c r="K26" s="88">
        <f>K27+K28+K29</f>
        <v>871.6</v>
      </c>
      <c r="L26" s="88">
        <f>L27+L28+L29</f>
        <v>0</v>
      </c>
      <c r="M26" s="60" t="s">
        <v>421</v>
      </c>
      <c r="N26" s="60" t="s">
        <v>421</v>
      </c>
      <c r="O26" s="26"/>
      <c r="P26" s="26"/>
    </row>
    <row r="27" spans="1:16" ht="25.5">
      <c r="A27" s="89"/>
      <c r="B27" s="90" t="s">
        <v>78</v>
      </c>
      <c r="C27" s="85" t="s">
        <v>75</v>
      </c>
      <c r="D27" s="86" t="s">
        <v>49</v>
      </c>
      <c r="E27" s="87">
        <f t="shared" si="0"/>
        <v>0</v>
      </c>
      <c r="F27" s="87">
        <v>0</v>
      </c>
      <c r="G27" s="87">
        <v>0</v>
      </c>
      <c r="H27" s="87">
        <v>0</v>
      </c>
      <c r="I27" s="88">
        <f t="shared" si="1"/>
        <v>1178.3800000000001</v>
      </c>
      <c r="J27" s="88">
        <v>1178.3800000000001</v>
      </c>
      <c r="K27" s="88">
        <v>0</v>
      </c>
      <c r="L27" s="88">
        <v>0</v>
      </c>
      <c r="M27" s="60" t="s">
        <v>420</v>
      </c>
      <c r="N27" s="60" t="s">
        <v>421</v>
      </c>
      <c r="O27" s="26"/>
      <c r="P27" s="26"/>
    </row>
    <row r="28" spans="1:16" ht="51">
      <c r="A28" s="89"/>
      <c r="B28" s="90" t="s">
        <v>79</v>
      </c>
      <c r="C28" s="85" t="s">
        <v>75</v>
      </c>
      <c r="D28" s="86" t="s">
        <v>49</v>
      </c>
      <c r="E28" s="87">
        <f t="shared" si="0"/>
        <v>1714.58</v>
      </c>
      <c r="F28" s="87">
        <v>0</v>
      </c>
      <c r="G28" s="87">
        <v>1714.58</v>
      </c>
      <c r="H28" s="87">
        <v>0</v>
      </c>
      <c r="I28" s="88">
        <f t="shared" si="1"/>
        <v>871.6</v>
      </c>
      <c r="J28" s="88">
        <v>0</v>
      </c>
      <c r="K28" s="139">
        <v>871.6</v>
      </c>
      <c r="L28" s="88">
        <v>0</v>
      </c>
      <c r="M28" s="60" t="s">
        <v>418</v>
      </c>
      <c r="N28" s="60" t="s">
        <v>419</v>
      </c>
      <c r="O28" s="26"/>
      <c r="P28" s="26"/>
    </row>
    <row r="29" spans="1:16" ht="51">
      <c r="A29" s="89"/>
      <c r="B29" s="90" t="s">
        <v>80</v>
      </c>
      <c r="C29" s="85" t="s">
        <v>75</v>
      </c>
      <c r="D29" s="86" t="s">
        <v>49</v>
      </c>
      <c r="E29" s="87">
        <f t="shared" si="0"/>
        <v>0</v>
      </c>
      <c r="F29" s="87">
        <v>0</v>
      </c>
      <c r="G29" s="87">
        <v>0</v>
      </c>
      <c r="H29" s="87">
        <v>0</v>
      </c>
      <c r="I29" s="88">
        <f t="shared" si="1"/>
        <v>0</v>
      </c>
      <c r="J29" s="88">
        <v>0</v>
      </c>
      <c r="K29" s="88">
        <v>0</v>
      </c>
      <c r="L29" s="88">
        <v>0</v>
      </c>
      <c r="M29" s="60" t="s">
        <v>422</v>
      </c>
      <c r="N29" s="60" t="s">
        <v>421</v>
      </c>
      <c r="O29" s="26"/>
      <c r="P29" s="26"/>
    </row>
    <row r="30" spans="1:16" ht="89.25">
      <c r="A30" s="83" t="s">
        <v>81</v>
      </c>
      <c r="B30" s="84" t="s">
        <v>82</v>
      </c>
      <c r="C30" s="85" t="s">
        <v>83</v>
      </c>
      <c r="D30" s="86" t="s">
        <v>49</v>
      </c>
      <c r="E30" s="87">
        <f t="shared" si="0"/>
        <v>150</v>
      </c>
      <c r="F30" s="87">
        <v>0</v>
      </c>
      <c r="G30" s="87">
        <v>0</v>
      </c>
      <c r="H30" s="87">
        <v>150</v>
      </c>
      <c r="I30" s="88">
        <f>SUM(J30:L30)</f>
        <v>0</v>
      </c>
      <c r="J30" s="88">
        <v>0</v>
      </c>
      <c r="K30" s="88">
        <v>0</v>
      </c>
      <c r="L30" s="88">
        <v>0</v>
      </c>
      <c r="M30" s="60" t="s">
        <v>421</v>
      </c>
      <c r="N30" s="60" t="s">
        <v>419</v>
      </c>
      <c r="O30" s="26"/>
      <c r="P30" s="26"/>
    </row>
    <row r="31" spans="1:16" ht="51">
      <c r="A31" s="83" t="s">
        <v>84</v>
      </c>
      <c r="B31" s="84" t="s">
        <v>85</v>
      </c>
      <c r="C31" s="85"/>
      <c r="D31" s="86"/>
      <c r="E31" s="87">
        <f t="shared" si="0"/>
        <v>6782.57</v>
      </c>
      <c r="F31" s="87">
        <f>F32+F33+F34+F38+F39</f>
        <v>0</v>
      </c>
      <c r="G31" s="87">
        <v>5880.97</v>
      </c>
      <c r="H31" s="87">
        <f>H32+H33+H34+H38+H39</f>
        <v>901.59999999999991</v>
      </c>
      <c r="I31" s="88">
        <f>I32+I33+I34+I38+I39</f>
        <v>9132.7579999999998</v>
      </c>
      <c r="J31" s="88">
        <f>J32+J33+J34+J38+J39</f>
        <v>350.11</v>
      </c>
      <c r="K31" s="88">
        <f>K32+K33+K34+K38+K39</f>
        <v>3336.8180000000002</v>
      </c>
      <c r="L31" s="88">
        <f>L32+L33+L34+L38+L39</f>
        <v>5445.83</v>
      </c>
      <c r="M31" s="60"/>
      <c r="N31" s="60"/>
      <c r="O31" s="26"/>
      <c r="P31" s="26"/>
    </row>
    <row r="32" spans="1:16" ht="51">
      <c r="A32" s="83" t="s">
        <v>86</v>
      </c>
      <c r="B32" s="84" t="s">
        <v>87</v>
      </c>
      <c r="C32" s="85" t="s">
        <v>88</v>
      </c>
      <c r="D32" s="86" t="s">
        <v>49</v>
      </c>
      <c r="E32" s="87">
        <f t="shared" si="0"/>
        <v>5844.37</v>
      </c>
      <c r="F32" s="87">
        <v>0</v>
      </c>
      <c r="G32" s="87">
        <v>5844.37</v>
      </c>
      <c r="H32" s="87">
        <v>0</v>
      </c>
      <c r="I32" s="88">
        <f t="shared" si="1"/>
        <v>5264.8580000000002</v>
      </c>
      <c r="J32" s="88">
        <f>42.38+307.73</f>
        <v>350.11</v>
      </c>
      <c r="K32" s="88">
        <v>3336.8180000000002</v>
      </c>
      <c r="L32" s="88">
        <f>848.45+295.33+434.15</f>
        <v>1577.9299999999998</v>
      </c>
      <c r="M32" s="60" t="s">
        <v>418</v>
      </c>
      <c r="N32" s="60" t="s">
        <v>419</v>
      </c>
      <c r="O32" s="26"/>
      <c r="P32" s="26"/>
    </row>
    <row r="33" spans="1:16" ht="63.75">
      <c r="A33" s="83" t="s">
        <v>89</v>
      </c>
      <c r="B33" s="84" t="s">
        <v>90</v>
      </c>
      <c r="C33" s="85" t="s">
        <v>75</v>
      </c>
      <c r="D33" s="86" t="s">
        <v>49</v>
      </c>
      <c r="E33" s="87">
        <f t="shared" si="0"/>
        <v>0</v>
      </c>
      <c r="F33" s="87">
        <v>0</v>
      </c>
      <c r="G33" s="87">
        <v>0</v>
      </c>
      <c r="H33" s="87">
        <v>0</v>
      </c>
      <c r="I33" s="88">
        <f t="shared" si="1"/>
        <v>0</v>
      </c>
      <c r="J33" s="88">
        <v>0</v>
      </c>
      <c r="K33" s="88">
        <v>0</v>
      </c>
      <c r="L33" s="88">
        <v>0</v>
      </c>
      <c r="M33" s="60" t="s">
        <v>422</v>
      </c>
      <c r="N33" s="60" t="s">
        <v>421</v>
      </c>
      <c r="O33" s="26"/>
      <c r="P33" s="26"/>
    </row>
    <row r="34" spans="1:16" ht="63.75">
      <c r="A34" s="83" t="s">
        <v>91</v>
      </c>
      <c r="B34" s="84" t="s">
        <v>92</v>
      </c>
      <c r="C34" s="85" t="s">
        <v>93</v>
      </c>
      <c r="D34" s="86" t="s">
        <v>49</v>
      </c>
      <c r="E34" s="87">
        <f t="shared" si="0"/>
        <v>876.09999999999991</v>
      </c>
      <c r="F34" s="87">
        <f>SUM(F35:F37)</f>
        <v>0</v>
      </c>
      <c r="G34" s="87">
        <v>0</v>
      </c>
      <c r="H34" s="87">
        <f>H35+H36+H37</f>
        <v>876.09999999999991</v>
      </c>
      <c r="I34" s="88">
        <f>I35+I36+I37</f>
        <v>3685.8999999999996</v>
      </c>
      <c r="J34" s="88">
        <f>J35+J36+J37</f>
        <v>0</v>
      </c>
      <c r="K34" s="88">
        <f>K35+K36+K37</f>
        <v>0</v>
      </c>
      <c r="L34" s="88">
        <f>L35+L36+L37</f>
        <v>3685.8999999999996</v>
      </c>
      <c r="M34" s="60" t="s">
        <v>421</v>
      </c>
      <c r="N34" s="60" t="s">
        <v>421</v>
      </c>
      <c r="O34" s="26"/>
      <c r="P34" s="26"/>
    </row>
    <row r="35" spans="1:16" ht="63.75">
      <c r="A35" s="89"/>
      <c r="B35" s="90" t="s">
        <v>94</v>
      </c>
      <c r="C35" s="85" t="s">
        <v>54</v>
      </c>
      <c r="D35" s="86" t="s">
        <v>49</v>
      </c>
      <c r="E35" s="87">
        <f t="shared" si="0"/>
        <v>462</v>
      </c>
      <c r="F35" s="87">
        <v>0</v>
      </c>
      <c r="G35" s="87">
        <v>0</v>
      </c>
      <c r="H35" s="87">
        <v>462</v>
      </c>
      <c r="I35" s="88">
        <f t="shared" si="1"/>
        <v>920.47</v>
      </c>
      <c r="J35" s="88">
        <v>0</v>
      </c>
      <c r="K35" s="88">
        <v>0</v>
      </c>
      <c r="L35" s="88">
        <v>920.47</v>
      </c>
      <c r="M35" s="60" t="s">
        <v>420</v>
      </c>
      <c r="N35" s="60" t="s">
        <v>421</v>
      </c>
      <c r="O35" s="26"/>
      <c r="P35" s="26"/>
    </row>
    <row r="36" spans="1:16" ht="51">
      <c r="A36" s="89"/>
      <c r="B36" s="90" t="s">
        <v>95</v>
      </c>
      <c r="C36" s="85" t="s">
        <v>93</v>
      </c>
      <c r="D36" s="86" t="s">
        <v>49</v>
      </c>
      <c r="E36" s="87">
        <f t="shared" si="0"/>
        <v>136.9</v>
      </c>
      <c r="F36" s="87">
        <v>0</v>
      </c>
      <c r="G36" s="87">
        <v>0</v>
      </c>
      <c r="H36" s="87">
        <v>136.9</v>
      </c>
      <c r="I36" s="88">
        <f t="shared" si="1"/>
        <v>0</v>
      </c>
      <c r="J36" s="88">
        <v>0</v>
      </c>
      <c r="K36" s="88">
        <v>0</v>
      </c>
      <c r="L36" s="88">
        <v>0</v>
      </c>
      <c r="M36" s="60" t="s">
        <v>421</v>
      </c>
      <c r="N36" s="60" t="s">
        <v>419</v>
      </c>
      <c r="O36" s="26"/>
      <c r="P36" s="26"/>
    </row>
    <row r="37" spans="1:16" ht="38.25">
      <c r="A37" s="89"/>
      <c r="B37" s="90" t="s">
        <v>96</v>
      </c>
      <c r="C37" s="85" t="s">
        <v>54</v>
      </c>
      <c r="D37" s="86" t="s">
        <v>49</v>
      </c>
      <c r="E37" s="87">
        <f t="shared" si="0"/>
        <v>277.2</v>
      </c>
      <c r="F37" s="87">
        <v>0</v>
      </c>
      <c r="G37" s="87">
        <v>0</v>
      </c>
      <c r="H37" s="87">
        <v>277.2</v>
      </c>
      <c r="I37" s="88">
        <f t="shared" si="1"/>
        <v>2765.43</v>
      </c>
      <c r="J37" s="88">
        <v>0</v>
      </c>
      <c r="K37" s="88">
        <v>0</v>
      </c>
      <c r="L37" s="88">
        <v>2765.43</v>
      </c>
      <c r="M37" s="60" t="s">
        <v>420</v>
      </c>
      <c r="N37" s="60" t="s">
        <v>419</v>
      </c>
      <c r="O37" s="26"/>
      <c r="P37" s="26"/>
    </row>
    <row r="38" spans="1:16" ht="38.25">
      <c r="A38" s="83" t="s">
        <v>97</v>
      </c>
      <c r="B38" s="84" t="s">
        <v>98</v>
      </c>
      <c r="C38" s="85" t="s">
        <v>75</v>
      </c>
      <c r="D38" s="86" t="s">
        <v>49</v>
      </c>
      <c r="E38" s="87">
        <f t="shared" si="0"/>
        <v>0</v>
      </c>
      <c r="F38" s="87">
        <v>0</v>
      </c>
      <c r="G38" s="87">
        <v>0</v>
      </c>
      <c r="H38" s="87">
        <v>0</v>
      </c>
      <c r="I38" s="88">
        <f>SUM(J38:L38)</f>
        <v>0</v>
      </c>
      <c r="J38" s="88">
        <v>0</v>
      </c>
      <c r="K38" s="88">
        <v>0</v>
      </c>
      <c r="L38" s="88">
        <v>0</v>
      </c>
      <c r="M38" s="60" t="s">
        <v>422</v>
      </c>
      <c r="N38" s="60" t="s">
        <v>421</v>
      </c>
      <c r="O38" s="26"/>
      <c r="P38" s="26"/>
    </row>
    <row r="39" spans="1:16" ht="63.75">
      <c r="A39" s="83" t="s">
        <v>99</v>
      </c>
      <c r="B39" s="84" t="s">
        <v>100</v>
      </c>
      <c r="C39" s="85" t="s">
        <v>93</v>
      </c>
      <c r="D39" s="86" t="s">
        <v>49</v>
      </c>
      <c r="E39" s="87">
        <f t="shared" si="0"/>
        <v>62.1</v>
      </c>
      <c r="F39" s="87">
        <f>F40+F41</f>
        <v>0</v>
      </c>
      <c r="G39" s="87">
        <v>36.6</v>
      </c>
      <c r="H39" s="87">
        <f>H41</f>
        <v>25.5</v>
      </c>
      <c r="I39" s="88">
        <f>SUM(J39:L39)</f>
        <v>182</v>
      </c>
      <c r="J39" s="88">
        <f>J40+J41</f>
        <v>0</v>
      </c>
      <c r="K39" s="88">
        <f>K40+K41</f>
        <v>0</v>
      </c>
      <c r="L39" s="88">
        <f>L40+L41</f>
        <v>182</v>
      </c>
      <c r="M39" s="60" t="s">
        <v>421</v>
      </c>
      <c r="N39" s="60" t="s">
        <v>421</v>
      </c>
      <c r="O39" s="26"/>
      <c r="P39" s="26"/>
    </row>
    <row r="40" spans="1:16" ht="51">
      <c r="A40" s="89"/>
      <c r="B40" s="90" t="s">
        <v>101</v>
      </c>
      <c r="C40" s="85" t="s">
        <v>102</v>
      </c>
      <c r="D40" s="86" t="s">
        <v>49</v>
      </c>
      <c r="E40" s="87">
        <f t="shared" si="0"/>
        <v>36.6</v>
      </c>
      <c r="F40" s="87">
        <v>0</v>
      </c>
      <c r="G40" s="87">
        <v>36.6</v>
      </c>
      <c r="H40" s="87">
        <v>0</v>
      </c>
      <c r="I40" s="88">
        <f>SUM(J40:L40)</f>
        <v>54.45</v>
      </c>
      <c r="J40" s="88">
        <v>0</v>
      </c>
      <c r="K40" s="88">
        <v>0</v>
      </c>
      <c r="L40" s="88">
        <v>54.45</v>
      </c>
      <c r="M40" s="60" t="s">
        <v>420</v>
      </c>
      <c r="N40" s="60" t="s">
        <v>419</v>
      </c>
      <c r="O40" s="26"/>
      <c r="P40" s="26"/>
    </row>
    <row r="41" spans="1:16" ht="38.25">
      <c r="A41" s="89"/>
      <c r="B41" s="90" t="s">
        <v>103</v>
      </c>
      <c r="C41" s="85" t="s">
        <v>104</v>
      </c>
      <c r="D41" s="86" t="s">
        <v>49</v>
      </c>
      <c r="E41" s="87">
        <f t="shared" si="0"/>
        <v>25.5</v>
      </c>
      <c r="F41" s="87">
        <v>0</v>
      </c>
      <c r="G41" s="87">
        <v>0</v>
      </c>
      <c r="H41" s="87">
        <v>25.5</v>
      </c>
      <c r="I41" s="88">
        <f>SUM(J41:L41)</f>
        <v>127.55</v>
      </c>
      <c r="J41" s="88">
        <v>0</v>
      </c>
      <c r="K41" s="88">
        <v>0</v>
      </c>
      <c r="L41" s="88">
        <v>127.55</v>
      </c>
      <c r="M41" s="60" t="s">
        <v>420</v>
      </c>
      <c r="N41" s="60" t="s">
        <v>419</v>
      </c>
      <c r="O41" s="26"/>
      <c r="P41" s="26"/>
    </row>
    <row r="42" spans="1:16" ht="38.25">
      <c r="A42" s="83" t="s">
        <v>105</v>
      </c>
      <c r="B42" s="84" t="s">
        <v>106</v>
      </c>
      <c r="C42" s="85"/>
      <c r="D42" s="86"/>
      <c r="E42" s="87">
        <f t="shared" si="0"/>
        <v>25634.957999999999</v>
      </c>
      <c r="F42" s="87">
        <f>F43+F49+F50+F56+F62</f>
        <v>0</v>
      </c>
      <c r="G42" s="87">
        <v>8771.8580000000002</v>
      </c>
      <c r="H42" s="87">
        <f>H43+H49+H50+H56+H62</f>
        <v>16863.099999999999</v>
      </c>
      <c r="I42" s="88">
        <f>I43+I49+I50+I56+I62</f>
        <v>5256.3259999999991</v>
      </c>
      <c r="J42" s="88">
        <f>J43+J49+J50+J56+J62</f>
        <v>760.43000000000006</v>
      </c>
      <c r="K42" s="88">
        <f>K43+K49+K50+K56+K62</f>
        <v>2082.1060000000002</v>
      </c>
      <c r="L42" s="88">
        <f>L43+L49+L50+L56+L62</f>
        <v>2413.79</v>
      </c>
      <c r="M42" s="60"/>
      <c r="N42" s="60"/>
      <c r="O42" s="26"/>
      <c r="P42" s="26"/>
    </row>
    <row r="43" spans="1:16" ht="89.25">
      <c r="A43" s="83" t="s">
        <v>107</v>
      </c>
      <c r="B43" s="84" t="s">
        <v>108</v>
      </c>
      <c r="C43" s="85" t="s">
        <v>102</v>
      </c>
      <c r="D43" s="86" t="s">
        <v>49</v>
      </c>
      <c r="E43" s="87">
        <f t="shared" si="0"/>
        <v>17325.689999999999</v>
      </c>
      <c r="F43" s="87">
        <f>SUM(F44:F48)</f>
        <v>0</v>
      </c>
      <c r="G43" s="87">
        <v>712.59</v>
      </c>
      <c r="H43" s="87">
        <f>H47</f>
        <v>16613.099999999999</v>
      </c>
      <c r="I43" s="88">
        <f>I44+I45+I46+I47+I48</f>
        <v>2197.54</v>
      </c>
      <c r="J43" s="88">
        <f>J44+J45+J46+J47+J48</f>
        <v>427.24</v>
      </c>
      <c r="K43" s="88">
        <f>K44+K45+K46+K47+K48</f>
        <v>0</v>
      </c>
      <c r="L43" s="88">
        <f>L44+L45+L46+L47+L48</f>
        <v>1770.3</v>
      </c>
      <c r="M43" s="60" t="s">
        <v>421</v>
      </c>
      <c r="N43" s="60" t="s">
        <v>421</v>
      </c>
      <c r="O43" s="26"/>
      <c r="P43" s="26"/>
    </row>
    <row r="44" spans="1:16" ht="51">
      <c r="A44" s="89"/>
      <c r="B44" s="90" t="s">
        <v>109</v>
      </c>
      <c r="C44" s="85" t="s">
        <v>102</v>
      </c>
      <c r="D44" s="86" t="s">
        <v>49</v>
      </c>
      <c r="E44" s="87">
        <f t="shared" si="0"/>
        <v>712.59</v>
      </c>
      <c r="F44" s="87">
        <v>0</v>
      </c>
      <c r="G44" s="87">
        <v>712.59</v>
      </c>
      <c r="H44" s="87">
        <v>0</v>
      </c>
      <c r="I44" s="88">
        <f t="shared" si="1"/>
        <v>427.24</v>
      </c>
      <c r="J44" s="88">
        <v>427.24</v>
      </c>
      <c r="K44" s="88">
        <v>0</v>
      </c>
      <c r="L44" s="88">
        <v>0</v>
      </c>
      <c r="M44" s="60" t="s">
        <v>418</v>
      </c>
      <c r="N44" s="60" t="s">
        <v>419</v>
      </c>
      <c r="O44" s="26"/>
      <c r="P44" s="26"/>
    </row>
    <row r="45" spans="1:16" ht="63.75">
      <c r="A45" s="83"/>
      <c r="B45" s="90" t="s">
        <v>110</v>
      </c>
      <c r="C45" s="85" t="s">
        <v>102</v>
      </c>
      <c r="D45" s="86" t="s">
        <v>49</v>
      </c>
      <c r="E45" s="87">
        <f t="shared" si="0"/>
        <v>0</v>
      </c>
      <c r="F45" s="87">
        <v>0</v>
      </c>
      <c r="G45" s="87">
        <v>0</v>
      </c>
      <c r="H45" s="87">
        <v>0</v>
      </c>
      <c r="I45" s="88">
        <f t="shared" si="1"/>
        <v>0</v>
      </c>
      <c r="J45" s="88">
        <v>0</v>
      </c>
      <c r="K45" s="88">
        <v>0</v>
      </c>
      <c r="L45" s="88">
        <v>0</v>
      </c>
      <c r="M45" s="60" t="s">
        <v>422</v>
      </c>
      <c r="N45" s="60" t="s">
        <v>421</v>
      </c>
      <c r="O45" s="26"/>
      <c r="P45" s="26"/>
    </row>
    <row r="46" spans="1:16" ht="38.25">
      <c r="A46" s="89"/>
      <c r="B46" s="90" t="s">
        <v>111</v>
      </c>
      <c r="C46" s="85" t="s">
        <v>102</v>
      </c>
      <c r="D46" s="86" t="s">
        <v>49</v>
      </c>
      <c r="E46" s="87">
        <f t="shared" si="0"/>
        <v>0</v>
      </c>
      <c r="F46" s="87">
        <v>0</v>
      </c>
      <c r="G46" s="87">
        <v>0</v>
      </c>
      <c r="H46" s="87">
        <v>0</v>
      </c>
      <c r="I46" s="88">
        <f t="shared" si="1"/>
        <v>0</v>
      </c>
      <c r="J46" s="88">
        <v>0</v>
      </c>
      <c r="K46" s="88">
        <v>0</v>
      </c>
      <c r="L46" s="88">
        <v>0</v>
      </c>
      <c r="M46" s="60" t="s">
        <v>422</v>
      </c>
      <c r="N46" s="60" t="s">
        <v>421</v>
      </c>
      <c r="O46" s="26"/>
      <c r="P46" s="26"/>
    </row>
    <row r="47" spans="1:16" ht="102">
      <c r="A47" s="89"/>
      <c r="B47" s="90" t="s">
        <v>112</v>
      </c>
      <c r="C47" s="85" t="s">
        <v>113</v>
      </c>
      <c r="D47" s="86" t="s">
        <v>49</v>
      </c>
      <c r="E47" s="87">
        <f t="shared" si="0"/>
        <v>16613.099999999999</v>
      </c>
      <c r="F47" s="87">
        <v>0</v>
      </c>
      <c r="G47" s="87">
        <v>0</v>
      </c>
      <c r="H47" s="87">
        <v>16613.099999999999</v>
      </c>
      <c r="I47" s="88">
        <f t="shared" si="1"/>
        <v>1770.3</v>
      </c>
      <c r="J47" s="88">
        <v>0</v>
      </c>
      <c r="K47" s="88">
        <v>0</v>
      </c>
      <c r="L47" s="88">
        <f>219.85+1550.45</f>
        <v>1770.3</v>
      </c>
      <c r="M47" s="60" t="s">
        <v>418</v>
      </c>
      <c r="N47" s="60" t="s">
        <v>419</v>
      </c>
      <c r="O47" s="26"/>
      <c r="P47" s="26"/>
    </row>
    <row r="48" spans="1:16" ht="38.25">
      <c r="A48" s="89"/>
      <c r="B48" s="90" t="s">
        <v>114</v>
      </c>
      <c r="C48" s="85" t="s">
        <v>75</v>
      </c>
      <c r="D48" s="86" t="s">
        <v>49</v>
      </c>
      <c r="E48" s="87">
        <f t="shared" si="0"/>
        <v>0</v>
      </c>
      <c r="F48" s="87">
        <v>0</v>
      </c>
      <c r="G48" s="87">
        <v>0</v>
      </c>
      <c r="H48" s="87">
        <v>0</v>
      </c>
      <c r="I48" s="88">
        <f t="shared" si="1"/>
        <v>0</v>
      </c>
      <c r="J48" s="88">
        <v>0</v>
      </c>
      <c r="K48" s="88">
        <v>0</v>
      </c>
      <c r="L48" s="88">
        <v>0</v>
      </c>
      <c r="M48" s="60" t="s">
        <v>422</v>
      </c>
      <c r="N48" s="60" t="s">
        <v>421</v>
      </c>
      <c r="O48" s="26"/>
      <c r="P48" s="26"/>
    </row>
    <row r="49" spans="1:16" ht="38.25">
      <c r="A49" s="83" t="s">
        <v>115</v>
      </c>
      <c r="B49" s="84" t="s">
        <v>116</v>
      </c>
      <c r="C49" s="85" t="s">
        <v>75</v>
      </c>
      <c r="D49" s="86" t="s">
        <v>49</v>
      </c>
      <c r="E49" s="87">
        <f t="shared" si="0"/>
        <v>821.61</v>
      </c>
      <c r="F49" s="87">
        <v>0</v>
      </c>
      <c r="G49" s="87">
        <v>821.61</v>
      </c>
      <c r="H49" s="87">
        <v>0</v>
      </c>
      <c r="I49" s="88">
        <f t="shared" si="1"/>
        <v>58.386000000000003</v>
      </c>
      <c r="J49" s="88">
        <v>0</v>
      </c>
      <c r="K49" s="88">
        <v>58.386000000000003</v>
      </c>
      <c r="L49" s="88">
        <v>0</v>
      </c>
      <c r="M49" s="60" t="s">
        <v>418</v>
      </c>
      <c r="N49" s="60" t="s">
        <v>419</v>
      </c>
      <c r="O49" s="26"/>
      <c r="P49" s="26"/>
    </row>
    <row r="50" spans="1:16" ht="89.25">
      <c r="A50" s="83" t="s">
        <v>117</v>
      </c>
      <c r="B50" s="84" t="s">
        <v>118</v>
      </c>
      <c r="C50" s="85" t="s">
        <v>75</v>
      </c>
      <c r="D50" s="86" t="s">
        <v>49</v>
      </c>
      <c r="E50" s="87">
        <f t="shared" si="0"/>
        <v>2110.2999999999997</v>
      </c>
      <c r="F50" s="87">
        <f>SUM(F51:F55)</f>
        <v>0</v>
      </c>
      <c r="G50" s="87">
        <v>2110.2999999999997</v>
      </c>
      <c r="H50" s="87">
        <v>0</v>
      </c>
      <c r="I50" s="88">
        <f>I51+I52+I53+I54+I55</f>
        <v>839.18000000000006</v>
      </c>
      <c r="J50" s="88">
        <f>J51+J52+J53+J54+J55</f>
        <v>333.19</v>
      </c>
      <c r="K50" s="88">
        <f>K51+K52+K53+K54+K55</f>
        <v>155.23000000000002</v>
      </c>
      <c r="L50" s="88">
        <f>L51+L52+L53+L54+L55</f>
        <v>350.76</v>
      </c>
      <c r="M50" s="60" t="s">
        <v>421</v>
      </c>
      <c r="N50" s="60" t="s">
        <v>421</v>
      </c>
      <c r="O50" s="26"/>
      <c r="P50" s="26"/>
    </row>
    <row r="51" spans="1:16" ht="25.5">
      <c r="A51" s="89"/>
      <c r="B51" s="90" t="s">
        <v>119</v>
      </c>
      <c r="C51" s="85" t="s">
        <v>75</v>
      </c>
      <c r="D51" s="86" t="s">
        <v>49</v>
      </c>
      <c r="E51" s="87">
        <f t="shared" si="0"/>
        <v>32.79</v>
      </c>
      <c r="F51" s="87">
        <v>0</v>
      </c>
      <c r="G51" s="87">
        <v>32.79</v>
      </c>
      <c r="H51" s="87">
        <v>0</v>
      </c>
      <c r="I51" s="88">
        <f t="shared" si="1"/>
        <v>326.58000000000004</v>
      </c>
      <c r="J51" s="88">
        <v>0</v>
      </c>
      <c r="K51" s="88">
        <v>31.72</v>
      </c>
      <c r="L51" s="88">
        <v>294.86</v>
      </c>
      <c r="M51" s="60" t="s">
        <v>418</v>
      </c>
      <c r="N51" s="60" t="s">
        <v>419</v>
      </c>
      <c r="O51" s="26"/>
      <c r="P51" s="26"/>
    </row>
    <row r="52" spans="1:16" ht="24">
      <c r="A52" s="89"/>
      <c r="B52" s="90" t="s">
        <v>120</v>
      </c>
      <c r="C52" s="85" t="s">
        <v>75</v>
      </c>
      <c r="D52" s="86" t="s">
        <v>49</v>
      </c>
      <c r="E52" s="87">
        <f t="shared" si="0"/>
        <v>16.809999999999999</v>
      </c>
      <c r="F52" s="87">
        <v>0</v>
      </c>
      <c r="G52" s="87">
        <v>16.809999999999999</v>
      </c>
      <c r="H52" s="87">
        <v>0</v>
      </c>
      <c r="I52" s="88">
        <f t="shared" si="1"/>
        <v>15.06</v>
      </c>
      <c r="J52" s="88">
        <v>0</v>
      </c>
      <c r="K52" s="88">
        <v>15.06</v>
      </c>
      <c r="L52" s="88">
        <v>0</v>
      </c>
      <c r="M52" s="60" t="s">
        <v>418</v>
      </c>
      <c r="N52" s="60" t="s">
        <v>419</v>
      </c>
      <c r="O52" s="26"/>
      <c r="P52" s="26"/>
    </row>
    <row r="53" spans="1:16" ht="25.5">
      <c r="A53" s="89"/>
      <c r="B53" s="90" t="s">
        <v>121</v>
      </c>
      <c r="C53" s="85" t="s">
        <v>75</v>
      </c>
      <c r="D53" s="86" t="s">
        <v>49</v>
      </c>
      <c r="E53" s="87">
        <f t="shared" si="0"/>
        <v>330.8</v>
      </c>
      <c r="F53" s="87">
        <v>0</v>
      </c>
      <c r="G53" s="87">
        <v>330.8</v>
      </c>
      <c r="H53" s="87">
        <v>0</v>
      </c>
      <c r="I53" s="88">
        <f t="shared" si="1"/>
        <v>108.45</v>
      </c>
      <c r="J53" s="88">
        <v>0</v>
      </c>
      <c r="K53" s="88">
        <v>108.45</v>
      </c>
      <c r="L53" s="88">
        <v>0</v>
      </c>
      <c r="M53" s="60" t="s">
        <v>418</v>
      </c>
      <c r="N53" s="60" t="s">
        <v>419</v>
      </c>
      <c r="O53" s="26"/>
      <c r="P53" s="26"/>
    </row>
    <row r="54" spans="1:16" ht="89.25">
      <c r="A54" s="89"/>
      <c r="B54" s="90" t="s">
        <v>122</v>
      </c>
      <c r="C54" s="85" t="s">
        <v>75</v>
      </c>
      <c r="D54" s="86" t="s">
        <v>49</v>
      </c>
      <c r="E54" s="87">
        <f t="shared" si="0"/>
        <v>1479.34</v>
      </c>
      <c r="F54" s="87">
        <v>0</v>
      </c>
      <c r="G54" s="87">
        <v>1479.34</v>
      </c>
      <c r="H54" s="87">
        <v>0</v>
      </c>
      <c r="I54" s="88">
        <f t="shared" si="1"/>
        <v>0</v>
      </c>
      <c r="J54" s="88">
        <v>0</v>
      </c>
      <c r="K54" s="88">
        <v>0</v>
      </c>
      <c r="L54" s="88">
        <v>0</v>
      </c>
      <c r="M54" s="60" t="s">
        <v>420</v>
      </c>
      <c r="N54" s="60" t="s">
        <v>525</v>
      </c>
      <c r="O54" s="26"/>
      <c r="P54" s="26"/>
    </row>
    <row r="55" spans="1:16" ht="38.25">
      <c r="A55" s="89"/>
      <c r="B55" s="90" t="s">
        <v>123</v>
      </c>
      <c r="C55" s="85" t="s">
        <v>75</v>
      </c>
      <c r="D55" s="86" t="s">
        <v>49</v>
      </c>
      <c r="E55" s="87">
        <f t="shared" si="0"/>
        <v>250.56</v>
      </c>
      <c r="F55" s="87">
        <v>0</v>
      </c>
      <c r="G55" s="87">
        <v>250.56</v>
      </c>
      <c r="H55" s="87">
        <v>0</v>
      </c>
      <c r="I55" s="88">
        <f t="shared" si="1"/>
        <v>389.09</v>
      </c>
      <c r="J55" s="88">
        <v>333.19</v>
      </c>
      <c r="K55" s="88">
        <v>0</v>
      </c>
      <c r="L55" s="88">
        <v>55.9</v>
      </c>
      <c r="M55" s="60" t="s">
        <v>418</v>
      </c>
      <c r="N55" s="60" t="s">
        <v>419</v>
      </c>
      <c r="O55" s="26"/>
      <c r="P55" s="26"/>
    </row>
    <row r="56" spans="1:16" ht="38.25">
      <c r="A56" s="83" t="s">
        <v>124</v>
      </c>
      <c r="B56" s="84" t="s">
        <v>125</v>
      </c>
      <c r="C56" s="85" t="s">
        <v>75</v>
      </c>
      <c r="D56" s="86" t="s">
        <v>49</v>
      </c>
      <c r="E56" s="87">
        <f t="shared" si="0"/>
        <v>5127.3580000000002</v>
      </c>
      <c r="F56" s="87">
        <f>SUM(F57:F61)</f>
        <v>0</v>
      </c>
      <c r="G56" s="87">
        <v>5127.3580000000002</v>
      </c>
      <c r="H56" s="87">
        <v>0</v>
      </c>
      <c r="I56" s="88">
        <f>I57+I58+I59+I60+I61</f>
        <v>2161.2199999999998</v>
      </c>
      <c r="J56" s="88">
        <f>J57+J58+J59+J60+J61</f>
        <v>0</v>
      </c>
      <c r="K56" s="88">
        <f>K57+K58+K59+K60+K61</f>
        <v>1868.49</v>
      </c>
      <c r="L56" s="88">
        <f>L57+L58+L59+L60+L61</f>
        <v>292.73</v>
      </c>
      <c r="M56" s="60" t="s">
        <v>421</v>
      </c>
      <c r="N56" s="60" t="s">
        <v>421</v>
      </c>
      <c r="O56" s="26"/>
      <c r="P56" s="26"/>
    </row>
    <row r="57" spans="1:16" ht="25.5">
      <c r="A57" s="89"/>
      <c r="B57" s="90" t="s">
        <v>126</v>
      </c>
      <c r="C57" s="85" t="s">
        <v>75</v>
      </c>
      <c r="D57" s="86" t="s">
        <v>49</v>
      </c>
      <c r="E57" s="87">
        <f t="shared" si="0"/>
        <v>225</v>
      </c>
      <c r="F57" s="87">
        <v>0</v>
      </c>
      <c r="G57" s="87">
        <v>225</v>
      </c>
      <c r="H57" s="87">
        <v>0</v>
      </c>
      <c r="I57" s="88">
        <f t="shared" si="1"/>
        <v>72.5</v>
      </c>
      <c r="J57" s="88">
        <v>0</v>
      </c>
      <c r="K57" s="88">
        <v>0</v>
      </c>
      <c r="L57" s="88">
        <v>72.5</v>
      </c>
      <c r="M57" s="60" t="s">
        <v>418</v>
      </c>
      <c r="N57" s="60" t="s">
        <v>419</v>
      </c>
      <c r="O57" s="26"/>
      <c r="P57" s="26"/>
    </row>
    <row r="58" spans="1:16" ht="25.5">
      <c r="A58" s="89"/>
      <c r="B58" s="90" t="s">
        <v>127</v>
      </c>
      <c r="C58" s="85" t="s">
        <v>75</v>
      </c>
      <c r="D58" s="86" t="s">
        <v>49</v>
      </c>
      <c r="E58" s="87">
        <f t="shared" si="0"/>
        <v>388.8</v>
      </c>
      <c r="F58" s="87">
        <v>0</v>
      </c>
      <c r="G58" s="87">
        <v>388.8</v>
      </c>
      <c r="H58" s="87">
        <v>0</v>
      </c>
      <c r="I58" s="88">
        <f t="shared" si="1"/>
        <v>275.66000000000003</v>
      </c>
      <c r="J58" s="88">
        <v>0</v>
      </c>
      <c r="K58" s="88">
        <v>204.43</v>
      </c>
      <c r="L58" s="88">
        <v>71.23</v>
      </c>
      <c r="M58" s="60" t="s">
        <v>418</v>
      </c>
      <c r="N58" s="60" t="s">
        <v>419</v>
      </c>
      <c r="O58" s="26"/>
      <c r="P58" s="26"/>
    </row>
    <row r="59" spans="1:16" ht="24">
      <c r="A59" s="89"/>
      <c r="B59" s="90" t="s">
        <v>128</v>
      </c>
      <c r="C59" s="85" t="s">
        <v>75</v>
      </c>
      <c r="D59" s="86" t="s">
        <v>49</v>
      </c>
      <c r="E59" s="87">
        <f t="shared" si="0"/>
        <v>28.35</v>
      </c>
      <c r="F59" s="87">
        <v>0</v>
      </c>
      <c r="G59" s="87">
        <v>28.35</v>
      </c>
      <c r="H59" s="87">
        <v>0</v>
      </c>
      <c r="I59" s="88">
        <f t="shared" si="1"/>
        <v>75.2</v>
      </c>
      <c r="J59" s="88">
        <v>0</v>
      </c>
      <c r="K59" s="88">
        <v>0</v>
      </c>
      <c r="L59" s="88">
        <v>75.2</v>
      </c>
      <c r="M59" s="60" t="s">
        <v>418</v>
      </c>
      <c r="N59" s="60" t="s">
        <v>419</v>
      </c>
      <c r="O59" s="26"/>
      <c r="P59" s="26"/>
    </row>
    <row r="60" spans="1:16" ht="25.5">
      <c r="A60" s="89"/>
      <c r="B60" s="90" t="s">
        <v>129</v>
      </c>
      <c r="C60" s="85" t="s">
        <v>75</v>
      </c>
      <c r="D60" s="86" t="s">
        <v>49</v>
      </c>
      <c r="E60" s="87">
        <f t="shared" si="0"/>
        <v>33.6</v>
      </c>
      <c r="F60" s="87">
        <v>0</v>
      </c>
      <c r="G60" s="87">
        <v>33.6</v>
      </c>
      <c r="H60" s="87">
        <v>0</v>
      </c>
      <c r="I60" s="88">
        <f t="shared" si="1"/>
        <v>73.8</v>
      </c>
      <c r="J60" s="88">
        <v>0</v>
      </c>
      <c r="K60" s="88">
        <v>0</v>
      </c>
      <c r="L60" s="88">
        <v>73.8</v>
      </c>
      <c r="M60" s="60" t="s">
        <v>418</v>
      </c>
      <c r="N60" s="60" t="s">
        <v>419</v>
      </c>
      <c r="O60" s="26"/>
      <c r="P60" s="26"/>
    </row>
    <row r="61" spans="1:16" ht="25.5">
      <c r="A61" s="89"/>
      <c r="B61" s="90" t="s">
        <v>130</v>
      </c>
      <c r="C61" s="85" t="s">
        <v>75</v>
      </c>
      <c r="D61" s="86" t="s">
        <v>49</v>
      </c>
      <c r="E61" s="87">
        <f t="shared" si="0"/>
        <v>4451.6080000000002</v>
      </c>
      <c r="F61" s="87">
        <v>0</v>
      </c>
      <c r="G61" s="87">
        <v>4451.6080000000002</v>
      </c>
      <c r="H61" s="87">
        <v>0</v>
      </c>
      <c r="I61" s="88">
        <f t="shared" si="1"/>
        <v>1664.06</v>
      </c>
      <c r="J61" s="88">
        <v>0</v>
      </c>
      <c r="K61" s="139">
        <v>1664.06</v>
      </c>
      <c r="L61" s="88">
        <v>0</v>
      </c>
      <c r="M61" s="60" t="s">
        <v>418</v>
      </c>
      <c r="N61" s="60" t="s">
        <v>419</v>
      </c>
      <c r="O61" s="26"/>
      <c r="P61" s="26"/>
    </row>
    <row r="62" spans="1:16" ht="76.5">
      <c r="A62" s="83" t="s">
        <v>131</v>
      </c>
      <c r="B62" s="84" t="s">
        <v>132</v>
      </c>
      <c r="C62" s="85" t="s">
        <v>75</v>
      </c>
      <c r="D62" s="86" t="s">
        <v>49</v>
      </c>
      <c r="E62" s="87">
        <f t="shared" si="0"/>
        <v>250</v>
      </c>
      <c r="F62" s="87">
        <v>0</v>
      </c>
      <c r="G62" s="87">
        <v>0</v>
      </c>
      <c r="H62" s="87">
        <v>250</v>
      </c>
      <c r="I62" s="88">
        <f t="shared" si="1"/>
        <v>0</v>
      </c>
      <c r="J62" s="88">
        <v>0</v>
      </c>
      <c r="K62" s="88">
        <v>0</v>
      </c>
      <c r="L62" s="88">
        <v>0</v>
      </c>
      <c r="M62" s="60" t="s">
        <v>421</v>
      </c>
      <c r="N62" s="60" t="s">
        <v>419</v>
      </c>
      <c r="O62" s="26"/>
      <c r="P62" s="26"/>
    </row>
    <row r="63" spans="1:16" ht="25.5">
      <c r="A63" s="83" t="s">
        <v>133</v>
      </c>
      <c r="B63" s="84" t="s">
        <v>134</v>
      </c>
      <c r="C63" s="85"/>
      <c r="D63" s="86"/>
      <c r="E63" s="87">
        <f t="shared" si="0"/>
        <v>160205</v>
      </c>
      <c r="F63" s="87">
        <f>SUM(F64+F68+F71+F72)</f>
        <v>0</v>
      </c>
      <c r="G63" s="87">
        <v>0</v>
      </c>
      <c r="H63" s="87">
        <f>H64+H68+H71+H72</f>
        <v>160205</v>
      </c>
      <c r="I63" s="88">
        <f>I64+I68+I71+I72</f>
        <v>32881.730000000003</v>
      </c>
      <c r="J63" s="88">
        <f>J64+J68+J71+J72</f>
        <v>12707.43</v>
      </c>
      <c r="K63" s="88">
        <f>K64+K68+K71+K72</f>
        <v>0</v>
      </c>
      <c r="L63" s="88">
        <f>L64+L68+L71+L72</f>
        <v>20174.300000000003</v>
      </c>
      <c r="M63" s="60"/>
      <c r="N63" s="60"/>
      <c r="O63" s="26"/>
      <c r="P63" s="26"/>
    </row>
    <row r="64" spans="1:16" ht="38.25">
      <c r="A64" s="83" t="s">
        <v>135</v>
      </c>
      <c r="B64" s="84" t="s">
        <v>136</v>
      </c>
      <c r="C64" s="85" t="s">
        <v>75</v>
      </c>
      <c r="D64" s="86" t="s">
        <v>49</v>
      </c>
      <c r="E64" s="87">
        <f t="shared" si="0"/>
        <v>150144</v>
      </c>
      <c r="F64" s="87">
        <f>SUM(F65:F67)</f>
        <v>0</v>
      </c>
      <c r="G64" s="87">
        <v>0</v>
      </c>
      <c r="H64" s="87">
        <f>H65</f>
        <v>150144</v>
      </c>
      <c r="I64" s="88">
        <f>I65+I66+I67</f>
        <v>22669.27</v>
      </c>
      <c r="J64" s="88">
        <f>J65+J66+J67</f>
        <v>12707.43</v>
      </c>
      <c r="K64" s="88">
        <f>K65+K66+K67</f>
        <v>0</v>
      </c>
      <c r="L64" s="88">
        <f>L65+L66+L67</f>
        <v>9961.84</v>
      </c>
      <c r="M64" s="60" t="s">
        <v>421</v>
      </c>
      <c r="N64" s="60" t="s">
        <v>421</v>
      </c>
      <c r="O64" s="26"/>
      <c r="P64" s="26"/>
    </row>
    <row r="65" spans="1:16" ht="76.5">
      <c r="A65" s="89"/>
      <c r="B65" s="90" t="s">
        <v>137</v>
      </c>
      <c r="C65" s="85" t="s">
        <v>75</v>
      </c>
      <c r="D65" s="86" t="s">
        <v>49</v>
      </c>
      <c r="E65" s="87">
        <f t="shared" si="0"/>
        <v>150144</v>
      </c>
      <c r="F65" s="87">
        <v>0</v>
      </c>
      <c r="G65" s="87">
        <v>0</v>
      </c>
      <c r="H65" s="87">
        <v>150144</v>
      </c>
      <c r="I65" s="88">
        <f t="shared" si="1"/>
        <v>22669.27</v>
      </c>
      <c r="J65" s="88">
        <v>12707.43</v>
      </c>
      <c r="K65" s="88">
        <v>0</v>
      </c>
      <c r="L65" s="88">
        <f>8554.61+960.02+447.21</f>
        <v>9961.84</v>
      </c>
      <c r="M65" s="60" t="s">
        <v>418</v>
      </c>
      <c r="N65" s="60" t="s">
        <v>419</v>
      </c>
      <c r="O65" s="26"/>
      <c r="P65" s="26"/>
    </row>
    <row r="66" spans="1:16" ht="51">
      <c r="A66" s="89"/>
      <c r="B66" s="90" t="s">
        <v>138</v>
      </c>
      <c r="C66" s="85" t="s">
        <v>75</v>
      </c>
      <c r="D66" s="86" t="s">
        <v>49</v>
      </c>
      <c r="E66" s="87">
        <f t="shared" si="0"/>
        <v>0</v>
      </c>
      <c r="F66" s="87">
        <v>0</v>
      </c>
      <c r="G66" s="87">
        <v>0</v>
      </c>
      <c r="H66" s="87">
        <v>0</v>
      </c>
      <c r="I66" s="88">
        <f t="shared" si="1"/>
        <v>0</v>
      </c>
      <c r="J66" s="88">
        <v>0</v>
      </c>
      <c r="K66" s="88">
        <v>0</v>
      </c>
      <c r="L66" s="88">
        <v>0</v>
      </c>
      <c r="M66" s="60" t="s">
        <v>422</v>
      </c>
      <c r="N66" s="60" t="s">
        <v>421</v>
      </c>
      <c r="O66" s="26"/>
      <c r="P66" s="26"/>
    </row>
    <row r="67" spans="1:16" ht="51">
      <c r="A67" s="89"/>
      <c r="B67" s="90" t="s">
        <v>139</v>
      </c>
      <c r="C67" s="85" t="s">
        <v>75</v>
      </c>
      <c r="D67" s="86" t="s">
        <v>49</v>
      </c>
      <c r="E67" s="87">
        <f t="shared" si="0"/>
        <v>0</v>
      </c>
      <c r="F67" s="87">
        <v>0</v>
      </c>
      <c r="G67" s="87">
        <v>0</v>
      </c>
      <c r="H67" s="87">
        <v>0</v>
      </c>
      <c r="I67" s="88">
        <f t="shared" si="1"/>
        <v>0</v>
      </c>
      <c r="J67" s="88">
        <v>0</v>
      </c>
      <c r="K67" s="88">
        <v>0</v>
      </c>
      <c r="L67" s="88">
        <v>0</v>
      </c>
      <c r="M67" s="60" t="s">
        <v>422</v>
      </c>
      <c r="N67" s="60" t="s">
        <v>421</v>
      </c>
      <c r="O67" s="26"/>
      <c r="P67" s="26"/>
    </row>
    <row r="68" spans="1:16" ht="38.25">
      <c r="A68" s="83" t="s">
        <v>140</v>
      </c>
      <c r="B68" s="84" t="s">
        <v>141</v>
      </c>
      <c r="C68" s="85" t="s">
        <v>75</v>
      </c>
      <c r="D68" s="86" t="s">
        <v>68</v>
      </c>
      <c r="E68" s="87">
        <f t="shared" si="0"/>
        <v>0</v>
      </c>
      <c r="F68" s="87">
        <f>SUM(F69:F70)</f>
        <v>0</v>
      </c>
      <c r="G68" s="87">
        <v>0</v>
      </c>
      <c r="H68" s="87">
        <v>0</v>
      </c>
      <c r="I68" s="88">
        <f>I69+I70</f>
        <v>0</v>
      </c>
      <c r="J68" s="88">
        <f>J69+J70</f>
        <v>0</v>
      </c>
      <c r="K68" s="88">
        <f>K69+K70</f>
        <v>0</v>
      </c>
      <c r="L68" s="88">
        <f>L69+L70</f>
        <v>0</v>
      </c>
      <c r="M68" s="60" t="s">
        <v>421</v>
      </c>
      <c r="N68" s="60" t="s">
        <v>421</v>
      </c>
      <c r="O68" s="26"/>
      <c r="P68" s="26"/>
    </row>
    <row r="69" spans="1:16" ht="38.25">
      <c r="A69" s="89"/>
      <c r="B69" s="90" t="s">
        <v>142</v>
      </c>
      <c r="C69" s="85" t="s">
        <v>75</v>
      </c>
      <c r="D69" s="86" t="s">
        <v>68</v>
      </c>
      <c r="E69" s="87">
        <f t="shared" si="0"/>
        <v>0</v>
      </c>
      <c r="F69" s="87">
        <v>0</v>
      </c>
      <c r="G69" s="87">
        <v>0</v>
      </c>
      <c r="H69" s="87">
        <v>0</v>
      </c>
      <c r="I69" s="88">
        <f t="shared" si="1"/>
        <v>0</v>
      </c>
      <c r="J69" s="88">
        <v>0</v>
      </c>
      <c r="K69" s="88">
        <v>0</v>
      </c>
      <c r="L69" s="88">
        <v>0</v>
      </c>
      <c r="M69" s="60" t="s">
        <v>422</v>
      </c>
      <c r="N69" s="60" t="s">
        <v>421</v>
      </c>
      <c r="O69" s="26"/>
      <c r="P69" s="26"/>
    </row>
    <row r="70" spans="1:16" ht="38.25">
      <c r="A70" s="89"/>
      <c r="B70" s="90" t="s">
        <v>143</v>
      </c>
      <c r="C70" s="85" t="s">
        <v>75</v>
      </c>
      <c r="D70" s="86" t="s">
        <v>68</v>
      </c>
      <c r="E70" s="87">
        <f t="shared" si="0"/>
        <v>0</v>
      </c>
      <c r="F70" s="87">
        <v>0</v>
      </c>
      <c r="G70" s="87">
        <v>0</v>
      </c>
      <c r="H70" s="87">
        <v>0</v>
      </c>
      <c r="I70" s="88">
        <f t="shared" si="1"/>
        <v>0</v>
      </c>
      <c r="J70" s="88">
        <v>0</v>
      </c>
      <c r="K70" s="88">
        <v>0</v>
      </c>
      <c r="L70" s="88">
        <v>0</v>
      </c>
      <c r="M70" s="60" t="s">
        <v>422</v>
      </c>
      <c r="N70" s="60" t="s">
        <v>421</v>
      </c>
      <c r="O70" s="26"/>
      <c r="P70" s="26"/>
    </row>
    <row r="71" spans="1:16" ht="102">
      <c r="A71" s="83" t="s">
        <v>144</v>
      </c>
      <c r="B71" s="84" t="s">
        <v>145</v>
      </c>
      <c r="C71" s="85" t="s">
        <v>75</v>
      </c>
      <c r="D71" s="86" t="s">
        <v>49</v>
      </c>
      <c r="E71" s="87">
        <f t="shared" si="0"/>
        <v>470</v>
      </c>
      <c r="F71" s="87">
        <v>0</v>
      </c>
      <c r="G71" s="87">
        <v>0</v>
      </c>
      <c r="H71" s="87">
        <v>470</v>
      </c>
      <c r="I71" s="88">
        <f t="shared" si="1"/>
        <v>0</v>
      </c>
      <c r="J71" s="88">
        <v>0</v>
      </c>
      <c r="K71" s="88">
        <v>0</v>
      </c>
      <c r="L71" s="88">
        <v>0</v>
      </c>
      <c r="M71" s="60" t="s">
        <v>421</v>
      </c>
      <c r="N71" s="60" t="s">
        <v>419</v>
      </c>
      <c r="O71" s="26"/>
      <c r="P71" s="26"/>
    </row>
    <row r="72" spans="1:16" ht="102">
      <c r="A72" s="83" t="s">
        <v>146</v>
      </c>
      <c r="B72" s="84" t="s">
        <v>147</v>
      </c>
      <c r="C72" s="85" t="s">
        <v>148</v>
      </c>
      <c r="D72" s="86" t="s">
        <v>49</v>
      </c>
      <c r="E72" s="87">
        <f t="shared" si="0"/>
        <v>9591</v>
      </c>
      <c r="F72" s="87">
        <v>0</v>
      </c>
      <c r="G72" s="87">
        <v>0</v>
      </c>
      <c r="H72" s="87">
        <v>9591</v>
      </c>
      <c r="I72" s="88">
        <f t="shared" si="1"/>
        <v>10212.460000000001</v>
      </c>
      <c r="J72" s="88">
        <v>0</v>
      </c>
      <c r="K72" s="88">
        <v>0</v>
      </c>
      <c r="L72" s="88">
        <f>8662.01+1550.45</f>
        <v>10212.460000000001</v>
      </c>
      <c r="M72" s="60" t="s">
        <v>420</v>
      </c>
      <c r="N72" s="60" t="s">
        <v>421</v>
      </c>
      <c r="O72" s="26"/>
      <c r="P72" s="26"/>
    </row>
    <row r="73" spans="1:16" ht="51">
      <c r="A73" s="83" t="s">
        <v>149</v>
      </c>
      <c r="B73" s="84" t="s">
        <v>150</v>
      </c>
      <c r="C73" s="85"/>
      <c r="D73" s="86"/>
      <c r="E73" s="87">
        <f t="shared" si="0"/>
        <v>30579.95</v>
      </c>
      <c r="F73" s="87">
        <f>F74+F80+F81</f>
        <v>0</v>
      </c>
      <c r="G73" s="87">
        <v>30291.95</v>
      </c>
      <c r="H73" s="87">
        <v>288</v>
      </c>
      <c r="I73" s="88">
        <f>I74+I80+I81</f>
        <v>15120.840000000002</v>
      </c>
      <c r="J73" s="88">
        <f>J74+J80+J81</f>
        <v>13590.220000000001</v>
      </c>
      <c r="K73" s="88">
        <f>K74+K80+K81</f>
        <v>1320.8</v>
      </c>
      <c r="L73" s="88">
        <f>L74+L80+L81</f>
        <v>209.82</v>
      </c>
      <c r="M73" s="60"/>
      <c r="N73" s="60"/>
      <c r="O73" s="26"/>
      <c r="P73" s="26"/>
    </row>
    <row r="74" spans="1:16" ht="51">
      <c r="A74" s="83" t="s">
        <v>151</v>
      </c>
      <c r="B74" s="84" t="s">
        <v>152</v>
      </c>
      <c r="C74" s="85" t="s">
        <v>75</v>
      </c>
      <c r="D74" s="86" t="s">
        <v>49</v>
      </c>
      <c r="E74" s="87">
        <f t="shared" si="0"/>
        <v>30291.95</v>
      </c>
      <c r="F74" s="87">
        <f>SUM(F75:F79)</f>
        <v>0</v>
      </c>
      <c r="G74" s="87">
        <v>30291.95</v>
      </c>
      <c r="H74" s="87">
        <v>0</v>
      </c>
      <c r="I74" s="88">
        <f>I75+I76+I77+I78+I79</f>
        <v>15120.840000000002</v>
      </c>
      <c r="J74" s="88">
        <f>J75+J76+J77+J78+J79</f>
        <v>13590.220000000001</v>
      </c>
      <c r="K74" s="88">
        <f>K75+K76+K77+K78+K79</f>
        <v>1320.8</v>
      </c>
      <c r="L74" s="88">
        <f>L75+L76+L77+L78+L79</f>
        <v>209.82</v>
      </c>
      <c r="M74" s="60" t="s">
        <v>421</v>
      </c>
      <c r="N74" s="60" t="s">
        <v>421</v>
      </c>
      <c r="O74" s="26"/>
      <c r="P74" s="26"/>
    </row>
    <row r="75" spans="1:16" ht="153">
      <c r="A75" s="89"/>
      <c r="B75" s="90" t="s">
        <v>153</v>
      </c>
      <c r="C75" s="85" t="s">
        <v>75</v>
      </c>
      <c r="D75" s="86" t="s">
        <v>49</v>
      </c>
      <c r="E75" s="87">
        <f t="shared" si="0"/>
        <v>15799.77</v>
      </c>
      <c r="F75" s="87">
        <v>0</v>
      </c>
      <c r="G75" s="87">
        <v>15799.77</v>
      </c>
      <c r="H75" s="87">
        <v>0</v>
      </c>
      <c r="I75" s="88">
        <f t="shared" si="1"/>
        <v>6389.66</v>
      </c>
      <c r="J75" s="88">
        <v>6179.84</v>
      </c>
      <c r="K75" s="88">
        <v>0</v>
      </c>
      <c r="L75" s="88">
        <v>209.82</v>
      </c>
      <c r="M75" s="60" t="s">
        <v>420</v>
      </c>
      <c r="N75" s="61" t="s">
        <v>423</v>
      </c>
      <c r="O75" s="26"/>
      <c r="P75" s="26"/>
    </row>
    <row r="76" spans="1:16" ht="153">
      <c r="A76" s="89"/>
      <c r="B76" s="90" t="s">
        <v>154</v>
      </c>
      <c r="C76" s="85" t="s">
        <v>75</v>
      </c>
      <c r="D76" s="86" t="s">
        <v>49</v>
      </c>
      <c r="E76" s="87">
        <f t="shared" ref="E76:E81" si="2">SUM(F76:H76)</f>
        <v>11432.6</v>
      </c>
      <c r="F76" s="87">
        <v>0</v>
      </c>
      <c r="G76" s="87">
        <v>11432.6</v>
      </c>
      <c r="H76" s="87">
        <v>0</v>
      </c>
      <c r="I76" s="88">
        <f t="shared" si="1"/>
        <v>7410.38</v>
      </c>
      <c r="J76" s="88">
        <v>7410.38</v>
      </c>
      <c r="K76" s="88">
        <v>0</v>
      </c>
      <c r="L76" s="88">
        <v>0</v>
      </c>
      <c r="M76" s="60" t="s">
        <v>420</v>
      </c>
      <c r="N76" s="61" t="s">
        <v>424</v>
      </c>
      <c r="O76" s="26"/>
      <c r="P76" s="26"/>
    </row>
    <row r="77" spans="1:16" ht="24">
      <c r="A77" s="89"/>
      <c r="B77" s="90" t="s">
        <v>155</v>
      </c>
      <c r="C77" s="85" t="s">
        <v>75</v>
      </c>
      <c r="D77" s="86" t="s">
        <v>49</v>
      </c>
      <c r="E77" s="87">
        <f t="shared" si="2"/>
        <v>728.69</v>
      </c>
      <c r="F77" s="87">
        <v>0</v>
      </c>
      <c r="G77" s="87">
        <v>728.69</v>
      </c>
      <c r="H77" s="87">
        <v>0</v>
      </c>
      <c r="I77" s="88">
        <f t="shared" si="1"/>
        <v>313.61</v>
      </c>
      <c r="J77" s="88">
        <v>0</v>
      </c>
      <c r="K77" s="88">
        <v>313.61</v>
      </c>
      <c r="L77" s="88">
        <v>0</v>
      </c>
      <c r="M77" s="60" t="s">
        <v>418</v>
      </c>
      <c r="N77" s="60" t="s">
        <v>419</v>
      </c>
      <c r="O77" s="26"/>
      <c r="P77" s="26"/>
    </row>
    <row r="78" spans="1:16" ht="25.5">
      <c r="A78" s="89"/>
      <c r="B78" s="90" t="s">
        <v>156</v>
      </c>
      <c r="C78" s="85" t="s">
        <v>75</v>
      </c>
      <c r="D78" s="86" t="s">
        <v>49</v>
      </c>
      <c r="E78" s="87">
        <f t="shared" si="2"/>
        <v>1706.05</v>
      </c>
      <c r="F78" s="87">
        <v>0</v>
      </c>
      <c r="G78" s="87">
        <v>1706.05</v>
      </c>
      <c r="H78" s="87">
        <v>0</v>
      </c>
      <c r="I78" s="88">
        <f>SUM(J78:L78)</f>
        <v>617.25</v>
      </c>
      <c r="J78" s="88">
        <v>0</v>
      </c>
      <c r="K78" s="88">
        <v>617.25</v>
      </c>
      <c r="L78" s="88">
        <v>0</v>
      </c>
      <c r="M78" s="60" t="s">
        <v>418</v>
      </c>
      <c r="N78" s="60" t="s">
        <v>419</v>
      </c>
      <c r="O78" s="26"/>
      <c r="P78" s="26"/>
    </row>
    <row r="79" spans="1:16" ht="51">
      <c r="A79" s="89"/>
      <c r="B79" s="90" t="s">
        <v>157</v>
      </c>
      <c r="C79" s="85" t="s">
        <v>75</v>
      </c>
      <c r="D79" s="86" t="s">
        <v>49</v>
      </c>
      <c r="E79" s="87">
        <f t="shared" si="2"/>
        <v>624.84</v>
      </c>
      <c r="F79" s="87">
        <v>0</v>
      </c>
      <c r="G79" s="87">
        <v>624.84</v>
      </c>
      <c r="H79" s="87">
        <v>0</v>
      </c>
      <c r="I79" s="88">
        <f>SUM(J79:L79)</f>
        <v>389.94</v>
      </c>
      <c r="J79" s="88">
        <v>0</v>
      </c>
      <c r="K79" s="88">
        <v>389.94</v>
      </c>
      <c r="L79" s="88">
        <v>0</v>
      </c>
      <c r="M79" s="60" t="s">
        <v>418</v>
      </c>
      <c r="N79" s="60" t="s">
        <v>419</v>
      </c>
      <c r="O79" s="26"/>
      <c r="P79" s="26"/>
    </row>
    <row r="80" spans="1:16" ht="60">
      <c r="A80" s="83" t="s">
        <v>158</v>
      </c>
      <c r="B80" s="84" t="s">
        <v>159</v>
      </c>
      <c r="C80" s="85" t="s">
        <v>160</v>
      </c>
      <c r="D80" s="86" t="s">
        <v>49</v>
      </c>
      <c r="E80" s="87">
        <f t="shared" si="2"/>
        <v>0</v>
      </c>
      <c r="F80" s="87">
        <v>0</v>
      </c>
      <c r="G80" s="87">
        <v>0</v>
      </c>
      <c r="H80" s="87">
        <v>0</v>
      </c>
      <c r="I80" s="88">
        <f>SUM(J80:L80)</f>
        <v>0</v>
      </c>
      <c r="J80" s="88">
        <v>0</v>
      </c>
      <c r="K80" s="88">
        <v>0</v>
      </c>
      <c r="L80" s="88">
        <v>0</v>
      </c>
      <c r="M80" s="60" t="s">
        <v>422</v>
      </c>
      <c r="N80" s="60" t="s">
        <v>421</v>
      </c>
      <c r="O80" s="26"/>
      <c r="P80" s="26"/>
    </row>
    <row r="81" spans="1:16" ht="109.5" customHeight="1">
      <c r="A81" s="83" t="s">
        <v>161</v>
      </c>
      <c r="B81" s="84" t="s">
        <v>162</v>
      </c>
      <c r="C81" s="85" t="s">
        <v>75</v>
      </c>
      <c r="D81" s="86" t="s">
        <v>49</v>
      </c>
      <c r="E81" s="87">
        <f t="shared" si="2"/>
        <v>288</v>
      </c>
      <c r="F81" s="87">
        <v>0</v>
      </c>
      <c r="G81" s="87">
        <v>0</v>
      </c>
      <c r="H81" s="87">
        <v>288</v>
      </c>
      <c r="I81" s="88">
        <f>SUM(J81:L81)</f>
        <v>0</v>
      </c>
      <c r="J81" s="88">
        <v>0</v>
      </c>
      <c r="K81" s="88">
        <v>0</v>
      </c>
      <c r="L81" s="88">
        <v>0</v>
      </c>
      <c r="M81" s="60" t="s">
        <v>421</v>
      </c>
      <c r="N81" s="60" t="s">
        <v>419</v>
      </c>
      <c r="O81" s="26"/>
      <c r="P81" s="26"/>
    </row>
    <row r="82" spans="1:16">
      <c r="A82" s="24"/>
      <c r="B82" s="155" t="s">
        <v>15</v>
      </c>
      <c r="C82" s="156"/>
      <c r="D82" s="30"/>
      <c r="E82" s="31"/>
      <c r="F82" s="32"/>
      <c r="G82" s="31"/>
      <c r="H82" s="33"/>
      <c r="I82" s="34"/>
      <c r="J82" s="33"/>
      <c r="K82" s="34"/>
      <c r="L82" s="33"/>
      <c r="M82" s="62"/>
      <c r="N82" s="63"/>
      <c r="O82" s="26"/>
      <c r="P82" s="26"/>
    </row>
    <row r="83" spans="1:16">
      <c r="A83" s="24"/>
      <c r="B83" s="157" t="s">
        <v>19</v>
      </c>
      <c r="C83" s="158"/>
      <c r="D83" s="74">
        <v>54</v>
      </c>
      <c r="E83" s="72"/>
      <c r="F83" s="36"/>
      <c r="G83" s="35"/>
      <c r="H83" s="37"/>
      <c r="I83" s="38"/>
      <c r="J83" s="37"/>
      <c r="K83" s="38"/>
      <c r="L83" s="37"/>
      <c r="M83" s="64"/>
      <c r="N83" s="65"/>
      <c r="O83" s="26"/>
      <c r="P83" s="26"/>
    </row>
    <row r="84" spans="1:16">
      <c r="A84" s="24"/>
      <c r="B84" s="159" t="s">
        <v>16</v>
      </c>
      <c r="C84" s="160"/>
      <c r="D84" s="74">
        <v>39</v>
      </c>
      <c r="E84" s="72"/>
      <c r="F84" s="36"/>
      <c r="G84" s="35"/>
      <c r="H84" s="37"/>
      <c r="I84" s="38"/>
      <c r="J84" s="37"/>
      <c r="K84" s="38"/>
      <c r="L84" s="37"/>
      <c r="M84" s="64"/>
      <c r="N84" s="65"/>
      <c r="O84" s="26"/>
      <c r="P84" s="26"/>
    </row>
    <row r="85" spans="1:16">
      <c r="A85" s="24"/>
      <c r="B85" s="161" t="s">
        <v>17</v>
      </c>
      <c r="C85" s="162"/>
      <c r="D85" s="75">
        <v>12</v>
      </c>
      <c r="E85" s="73"/>
      <c r="F85" s="40"/>
      <c r="G85" s="39"/>
      <c r="H85" s="41"/>
      <c r="I85" s="42"/>
      <c r="J85" s="41"/>
      <c r="K85" s="42"/>
      <c r="L85" s="41"/>
      <c r="M85" s="66"/>
      <c r="N85" s="67"/>
      <c r="O85" s="26"/>
      <c r="P85" s="26"/>
    </row>
    <row r="86" spans="1:16">
      <c r="B86" s="154" t="s">
        <v>18</v>
      </c>
      <c r="C86" s="154"/>
      <c r="D86" s="23"/>
      <c r="E86" s="43">
        <f>E73+E63+E42+E31+E11</f>
        <v>263310.52799999999</v>
      </c>
      <c r="F86" s="43">
        <f t="shared" ref="F86:L86" si="3">F73+F63+F42+F31+F11</f>
        <v>0</v>
      </c>
      <c r="G86" s="43">
        <f t="shared" si="3"/>
        <v>48703.358000000007</v>
      </c>
      <c r="H86" s="43">
        <f t="shared" si="3"/>
        <v>214607.17</v>
      </c>
      <c r="I86" s="43">
        <f t="shared" si="3"/>
        <v>84505.377000000008</v>
      </c>
      <c r="J86" s="43">
        <f t="shared" si="3"/>
        <v>30427.340000000004</v>
      </c>
      <c r="K86" s="43">
        <f t="shared" si="3"/>
        <v>7768.1769999999997</v>
      </c>
      <c r="L86" s="43">
        <f t="shared" si="3"/>
        <v>46309.86</v>
      </c>
      <c r="M86" s="68"/>
      <c r="N86" s="68"/>
      <c r="O86" s="26"/>
      <c r="P86" s="26"/>
    </row>
    <row r="87" spans="1:16" s="51" customFormat="1">
      <c r="A87" s="24"/>
      <c r="B87" s="48"/>
      <c r="C87" s="25"/>
      <c r="D87" s="25"/>
      <c r="E87" s="29"/>
      <c r="F87" s="29"/>
      <c r="G87" s="29"/>
      <c r="H87" s="24"/>
      <c r="I87" s="24"/>
      <c r="J87" s="24"/>
      <c r="K87" s="24"/>
      <c r="L87" s="24"/>
      <c r="M87" s="59"/>
      <c r="N87" s="59"/>
      <c r="O87" s="24"/>
      <c r="P87" s="24"/>
    </row>
    <row r="88" spans="1:16" s="51" customFormat="1">
      <c r="A88" s="24"/>
      <c r="B88" s="48"/>
      <c r="C88" s="25"/>
      <c r="D88" s="25"/>
      <c r="E88" s="29"/>
      <c r="F88" s="29"/>
      <c r="G88" s="29"/>
      <c r="H88" s="24"/>
      <c r="I88" s="24"/>
      <c r="J88" s="24"/>
      <c r="K88" s="24"/>
      <c r="L88" s="24"/>
      <c r="M88" s="59"/>
      <c r="N88" s="59"/>
      <c r="O88" s="24"/>
      <c r="P88" s="24"/>
    </row>
    <row r="89" spans="1:16" s="51" customFormat="1" ht="19.5" customHeight="1">
      <c r="A89" s="24"/>
      <c r="B89" s="149" t="s">
        <v>40</v>
      </c>
      <c r="C89" s="149"/>
      <c r="D89" s="149"/>
      <c r="E89" s="44"/>
      <c r="F89" s="29"/>
      <c r="G89" s="44"/>
      <c r="H89" s="24"/>
      <c r="I89" s="24"/>
      <c r="J89" s="24"/>
      <c r="K89" s="24"/>
      <c r="L89" s="24"/>
      <c r="M89" s="59"/>
      <c r="N89" s="59"/>
      <c r="O89" s="24"/>
      <c r="P89" s="24"/>
    </row>
    <row r="90" spans="1:16" s="51" customFormat="1">
      <c r="A90" s="24"/>
      <c r="B90" s="48"/>
      <c r="C90" s="25"/>
      <c r="D90" s="25"/>
      <c r="E90" s="29"/>
      <c r="F90" s="29"/>
      <c r="G90" s="29"/>
      <c r="H90" s="24"/>
      <c r="I90" s="24"/>
      <c r="J90" s="24"/>
      <c r="K90" s="24"/>
      <c r="L90" s="24"/>
      <c r="M90" s="59"/>
      <c r="N90" s="59"/>
      <c r="O90" s="24"/>
      <c r="P90" s="24"/>
    </row>
    <row r="91" spans="1:16">
      <c r="E91" s="45"/>
      <c r="F91" s="45"/>
      <c r="G91" s="45"/>
      <c r="H91" s="26"/>
      <c r="I91" s="26"/>
      <c r="J91" s="26"/>
      <c r="K91" s="26"/>
      <c r="L91" s="26"/>
      <c r="O91" s="26"/>
      <c r="P91" s="26"/>
    </row>
    <row r="92" spans="1:16" ht="42" customHeight="1">
      <c r="B92" s="163" t="s">
        <v>230</v>
      </c>
      <c r="C92" s="163"/>
      <c r="D92" s="163"/>
      <c r="E92" s="143" t="s">
        <v>41</v>
      </c>
      <c r="F92" s="144"/>
      <c r="G92" s="145"/>
      <c r="H92" s="150" t="s">
        <v>42</v>
      </c>
      <c r="I92" s="150"/>
      <c r="J92" s="150"/>
      <c r="K92" s="26"/>
      <c r="L92" s="26"/>
      <c r="O92" s="26"/>
      <c r="P92" s="26"/>
    </row>
    <row r="93" spans="1:16" ht="28.5">
      <c r="B93" s="82" t="s">
        <v>12</v>
      </c>
      <c r="C93" s="82" t="s">
        <v>13</v>
      </c>
      <c r="D93" s="82" t="s">
        <v>14</v>
      </c>
      <c r="E93" s="46" t="s">
        <v>12</v>
      </c>
      <c r="F93" s="46" t="s">
        <v>13</v>
      </c>
      <c r="G93" s="46" t="s">
        <v>14</v>
      </c>
      <c r="H93" s="46" t="s">
        <v>12</v>
      </c>
      <c r="I93" s="46" t="s">
        <v>13</v>
      </c>
      <c r="J93" s="46" t="s">
        <v>14</v>
      </c>
      <c r="K93" s="26"/>
      <c r="L93" s="26"/>
      <c r="O93" s="26"/>
      <c r="P93" s="26"/>
    </row>
    <row r="94" spans="1:16">
      <c r="B94" s="47">
        <f>C94+D94</f>
        <v>228453.2</v>
      </c>
      <c r="C94" s="56">
        <v>13846.03</v>
      </c>
      <c r="D94" s="56">
        <f>F86+H86</f>
        <v>214607.17</v>
      </c>
      <c r="E94" s="56">
        <f>F94+G94</f>
        <v>84505.377000000008</v>
      </c>
      <c r="F94" s="56">
        <f>K86</f>
        <v>7768.1769999999997</v>
      </c>
      <c r="G94" s="57">
        <f>J86+L86</f>
        <v>76737.200000000012</v>
      </c>
      <c r="H94" s="56">
        <f>I94+J94</f>
        <v>-143947.823</v>
      </c>
      <c r="I94" s="56">
        <f>F94-C94</f>
        <v>-6077.853000000001</v>
      </c>
      <c r="J94" s="56">
        <f>G94-D94</f>
        <v>-137869.97</v>
      </c>
      <c r="K94" s="26"/>
      <c r="L94" s="26"/>
      <c r="O94" s="26"/>
      <c r="P94" s="26"/>
    </row>
    <row r="95" spans="1:16">
      <c r="E95" s="45"/>
      <c r="F95" s="45"/>
      <c r="G95" s="45"/>
      <c r="H95" s="26"/>
      <c r="I95" s="26"/>
      <c r="J95" s="26"/>
      <c r="K95" s="26"/>
      <c r="L95" s="26"/>
      <c r="O95" s="26"/>
      <c r="P95" s="26"/>
    </row>
    <row r="96" spans="1:16">
      <c r="C96" s="69"/>
      <c r="D96" s="69"/>
      <c r="E96" s="45"/>
      <c r="G96" s="45"/>
      <c r="H96" s="26"/>
      <c r="I96" s="70"/>
      <c r="J96" s="26"/>
      <c r="K96" s="26"/>
      <c r="L96" s="26"/>
      <c r="O96" s="26"/>
      <c r="P96" s="26"/>
    </row>
    <row r="97" spans="2:16">
      <c r="E97" s="45"/>
      <c r="F97" s="45"/>
      <c r="G97" s="45"/>
      <c r="H97" s="26"/>
      <c r="I97" s="26"/>
      <c r="J97" s="26"/>
      <c r="K97" s="26"/>
      <c r="L97" s="26"/>
      <c r="O97" s="26"/>
      <c r="P97" s="26"/>
    </row>
    <row r="98" spans="2:16" ht="16.5">
      <c r="B98" s="140" t="s">
        <v>537</v>
      </c>
      <c r="C98" s="141"/>
      <c r="D98" s="142"/>
      <c r="E98" s="142"/>
      <c r="F98" s="142" t="s">
        <v>538</v>
      </c>
      <c r="G98" s="140"/>
      <c r="H98" s="26"/>
      <c r="I98" s="26"/>
      <c r="J98" s="26"/>
      <c r="K98" s="26"/>
      <c r="L98" s="26"/>
      <c r="O98" s="26"/>
      <c r="P98" s="26"/>
    </row>
    <row r="99" spans="2:16">
      <c r="E99" s="45"/>
      <c r="F99" s="45"/>
      <c r="G99" s="45"/>
      <c r="H99" s="26"/>
      <c r="I99" s="26"/>
      <c r="J99" s="26"/>
      <c r="K99" s="26"/>
      <c r="L99" s="26"/>
      <c r="O99" s="26"/>
      <c r="P99" s="26"/>
    </row>
    <row r="100" spans="2:16">
      <c r="E100" s="45"/>
      <c r="F100" s="45"/>
      <c r="G100" s="45"/>
      <c r="H100" s="26"/>
      <c r="I100" s="26"/>
      <c r="J100" s="26"/>
      <c r="K100" s="26"/>
      <c r="L100" s="26"/>
      <c r="O100" s="26"/>
      <c r="P100" s="26"/>
    </row>
    <row r="101" spans="2:16">
      <c r="E101" s="45"/>
      <c r="F101" s="45"/>
      <c r="G101" s="45"/>
      <c r="H101" s="26"/>
      <c r="I101" s="26"/>
      <c r="J101" s="26"/>
      <c r="K101" s="26"/>
      <c r="L101" s="26"/>
      <c r="O101" s="26"/>
      <c r="P101" s="26"/>
    </row>
    <row r="102" spans="2:16">
      <c r="E102" s="45"/>
      <c r="F102" s="45"/>
      <c r="G102" s="45"/>
      <c r="H102" s="26"/>
      <c r="I102" s="26"/>
      <c r="J102" s="26"/>
      <c r="K102" s="26"/>
      <c r="L102" s="26"/>
      <c r="O102" s="26"/>
      <c r="P102" s="26"/>
    </row>
    <row r="103" spans="2:16">
      <c r="E103" s="45"/>
      <c r="F103" s="45"/>
      <c r="G103" s="45"/>
      <c r="H103" s="26"/>
      <c r="I103" s="26"/>
      <c r="J103" s="26"/>
      <c r="K103" s="26"/>
      <c r="L103" s="26"/>
      <c r="O103" s="26"/>
      <c r="P103" s="26"/>
    </row>
    <row r="104" spans="2:16">
      <c r="E104" s="45"/>
      <c r="F104" s="45"/>
      <c r="G104" s="45"/>
      <c r="H104" s="26"/>
      <c r="I104" s="26"/>
      <c r="J104" s="26"/>
      <c r="K104" s="26"/>
      <c r="L104" s="26"/>
      <c r="O104" s="26"/>
      <c r="P104" s="26"/>
    </row>
    <row r="105" spans="2:16">
      <c r="E105" s="45"/>
      <c r="F105" s="45"/>
      <c r="G105" s="45"/>
      <c r="H105" s="26"/>
      <c r="I105" s="26"/>
      <c r="J105" s="26"/>
      <c r="K105" s="26"/>
      <c r="L105" s="26"/>
      <c r="O105" s="26"/>
      <c r="P105" s="26"/>
    </row>
  </sheetData>
  <mergeCells count="26">
    <mergeCell ref="A6:A9"/>
    <mergeCell ref="H92:J92"/>
    <mergeCell ref="B1:P1"/>
    <mergeCell ref="B2:P2"/>
    <mergeCell ref="B3:P3"/>
    <mergeCell ref="B4:P4"/>
    <mergeCell ref="B86:C86"/>
    <mergeCell ref="B6:B8"/>
    <mergeCell ref="C6:C8"/>
    <mergeCell ref="D6:D8"/>
    <mergeCell ref="E6:H6"/>
    <mergeCell ref="B82:C82"/>
    <mergeCell ref="B83:C83"/>
    <mergeCell ref="B84:C84"/>
    <mergeCell ref="B85:C85"/>
    <mergeCell ref="B92:D92"/>
    <mergeCell ref="E92:G92"/>
    <mergeCell ref="N6:N8"/>
    <mergeCell ref="B10:N10"/>
    <mergeCell ref="I6:L6"/>
    <mergeCell ref="E7:E8"/>
    <mergeCell ref="F7:H7"/>
    <mergeCell ref="I7:I8"/>
    <mergeCell ref="J7:L7"/>
    <mergeCell ref="M6:M8"/>
    <mergeCell ref="B89:D89"/>
  </mergeCells>
  <pageMargins left="0.23622047244094491" right="0.23622047244094491" top="0.35433070866141736" bottom="0.35433070866141736"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dimension ref="A2:AV189"/>
  <sheetViews>
    <sheetView zoomScaleNormal="100" workbookViewId="0">
      <pane xSplit="6" ySplit="11" topLeftCell="G12" activePane="bottomRight" state="frozen"/>
      <selection pane="topRight" activeCell="G1" sqref="G1"/>
      <selection pane="bottomLeft" activeCell="A12" sqref="A12"/>
      <selection pane="bottomRight" activeCell="E181" sqref="E181"/>
    </sheetView>
  </sheetViews>
  <sheetFormatPr defaultRowHeight="12.75"/>
  <cols>
    <col min="1" max="1" width="4.85546875" style="93" customWidth="1"/>
    <col min="2" max="2" width="34.42578125" style="96" customWidth="1"/>
    <col min="3" max="3" width="16.5703125" style="96" customWidth="1"/>
    <col min="4" max="4" width="30.140625" style="109" customWidth="1"/>
    <col min="5" max="5" width="12.7109375" style="110" customWidth="1"/>
    <col min="6" max="6" width="13.140625" style="96" customWidth="1"/>
    <col min="7" max="7" width="13.42578125" style="96" customWidth="1"/>
    <col min="8" max="8" width="13.85546875" style="96" customWidth="1"/>
    <col min="9" max="9" width="33.7109375" style="96" customWidth="1"/>
    <col min="10" max="10" width="15" style="58" customWidth="1"/>
    <col min="11" max="48" width="9.140625" style="58"/>
    <col min="49" max="16384" width="9.140625" style="78"/>
  </cols>
  <sheetData>
    <row r="2" spans="1:48">
      <c r="B2" s="164" t="s">
        <v>31</v>
      </c>
      <c r="C2" s="164"/>
      <c r="D2" s="164"/>
      <c r="E2" s="164"/>
      <c r="F2" s="164"/>
      <c r="G2" s="164"/>
      <c r="H2" s="164"/>
      <c r="I2" s="164"/>
      <c r="J2" s="76"/>
      <c r="K2" s="76"/>
      <c r="L2" s="76"/>
      <c r="M2" s="76"/>
      <c r="N2" s="76"/>
    </row>
    <row r="3" spans="1:48">
      <c r="B3" s="165" t="s">
        <v>224</v>
      </c>
      <c r="C3" s="165"/>
      <c r="D3" s="165"/>
      <c r="E3" s="165"/>
      <c r="F3" s="165"/>
      <c r="G3" s="165"/>
      <c r="H3" s="165"/>
      <c r="I3" s="165"/>
    </row>
    <row r="4" spans="1:48">
      <c r="B4" s="166" t="s">
        <v>427</v>
      </c>
      <c r="C4" s="166"/>
      <c r="D4" s="166"/>
      <c r="E4" s="166"/>
      <c r="F4" s="166"/>
      <c r="G4" s="166"/>
      <c r="H4" s="166"/>
      <c r="I4" s="166"/>
      <c r="J4" s="77"/>
      <c r="K4" s="77"/>
      <c r="L4" s="77"/>
      <c r="M4" s="77"/>
      <c r="N4" s="77"/>
    </row>
    <row r="5" spans="1:48">
      <c r="B5" s="94"/>
      <c r="C5" s="95"/>
      <c r="D5" s="94"/>
      <c r="E5" s="94"/>
      <c r="F5" s="94"/>
    </row>
    <row r="6" spans="1:48">
      <c r="A6" s="182"/>
      <c r="B6" s="167" t="s">
        <v>28</v>
      </c>
      <c r="C6" s="167" t="s">
        <v>20</v>
      </c>
      <c r="D6" s="167" t="s">
        <v>21</v>
      </c>
      <c r="E6" s="167" t="s">
        <v>22</v>
      </c>
      <c r="F6" s="169" t="s">
        <v>27</v>
      </c>
      <c r="G6" s="169"/>
      <c r="H6" s="167" t="s">
        <v>25</v>
      </c>
      <c r="I6" s="167" t="s">
        <v>26</v>
      </c>
    </row>
    <row r="7" spans="1:48" ht="56.25" customHeight="1">
      <c r="A7" s="182"/>
      <c r="B7" s="168"/>
      <c r="C7" s="168"/>
      <c r="D7" s="168"/>
      <c r="E7" s="168"/>
      <c r="F7" s="97" t="s">
        <v>23</v>
      </c>
      <c r="G7" s="97" t="s">
        <v>24</v>
      </c>
      <c r="H7" s="168"/>
      <c r="I7" s="168"/>
    </row>
    <row r="8" spans="1:48">
      <c r="A8" s="182"/>
      <c r="B8" s="98">
        <v>1</v>
      </c>
      <c r="C8" s="98">
        <v>2</v>
      </c>
      <c r="D8" s="98">
        <v>3</v>
      </c>
      <c r="E8" s="98">
        <v>4</v>
      </c>
      <c r="F8" s="98">
        <v>5</v>
      </c>
      <c r="G8" s="98">
        <v>6</v>
      </c>
      <c r="H8" s="98">
        <v>7</v>
      </c>
      <c r="I8" s="98">
        <v>8</v>
      </c>
    </row>
    <row r="9" spans="1:48">
      <c r="B9" s="189" t="s">
        <v>33</v>
      </c>
      <c r="C9" s="189"/>
      <c r="D9" s="189"/>
      <c r="E9" s="189"/>
      <c r="F9" s="189"/>
      <c r="G9" s="189"/>
      <c r="H9" s="189"/>
      <c r="I9" s="189"/>
    </row>
    <row r="10" spans="1:48">
      <c r="A10" s="111"/>
      <c r="B10" s="171" t="s">
        <v>34</v>
      </c>
      <c r="C10" s="171"/>
      <c r="D10" s="171"/>
      <c r="E10" s="171"/>
      <c r="F10" s="171"/>
      <c r="G10" s="171"/>
      <c r="H10" s="171"/>
      <c r="I10" s="171"/>
    </row>
    <row r="11" spans="1:48" ht="13.5">
      <c r="A11" s="111">
        <v>1</v>
      </c>
      <c r="B11" s="172" t="s">
        <v>44</v>
      </c>
      <c r="C11" s="173"/>
      <c r="D11" s="173"/>
      <c r="E11" s="173"/>
      <c r="F11" s="173"/>
      <c r="G11" s="173"/>
      <c r="H11" s="174"/>
      <c r="I11" s="112"/>
    </row>
    <row r="12" spans="1:48" s="79" customFormat="1" ht="76.5">
      <c r="A12" s="113">
        <v>1.1000000000000001</v>
      </c>
      <c r="B12" s="100" t="s">
        <v>46</v>
      </c>
      <c r="C12" s="100" t="s">
        <v>250</v>
      </c>
      <c r="D12" s="100"/>
      <c r="E12" s="114" t="s">
        <v>163</v>
      </c>
      <c r="F12" s="115">
        <f>'виконання ІС'!E13</f>
        <v>14089.32</v>
      </c>
      <c r="G12" s="115">
        <f>'виконання ІС'!L13</f>
        <v>6381.78</v>
      </c>
      <c r="H12" s="115">
        <f>G12-F12</f>
        <v>-7707.54</v>
      </c>
      <c r="I12" s="100" t="s">
        <v>530</v>
      </c>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row>
    <row r="13" spans="1:48" ht="63.75">
      <c r="A13" s="183" t="s">
        <v>390</v>
      </c>
      <c r="B13" s="179" t="s">
        <v>168</v>
      </c>
      <c r="C13" s="100" t="s">
        <v>251</v>
      </c>
      <c r="D13" s="100" t="s">
        <v>232</v>
      </c>
      <c r="E13" s="114" t="s">
        <v>415</v>
      </c>
      <c r="F13" s="100">
        <v>28000</v>
      </c>
      <c r="G13" s="100">
        <v>40575</v>
      </c>
      <c r="H13" s="100">
        <f t="shared" ref="H13:H19" si="0">G13-F13</f>
        <v>12575</v>
      </c>
      <c r="I13" s="100" t="s">
        <v>506</v>
      </c>
    </row>
    <row r="14" spans="1:48" ht="38.25">
      <c r="A14" s="184"/>
      <c r="B14" s="180"/>
      <c r="C14" s="100" t="s">
        <v>382</v>
      </c>
      <c r="D14" s="100" t="s">
        <v>233</v>
      </c>
      <c r="E14" s="114" t="s">
        <v>163</v>
      </c>
      <c r="F14" s="100">
        <v>0.5</v>
      </c>
      <c r="G14" s="117">
        <f>G12/G13</f>
        <v>0.15728354898336414</v>
      </c>
      <c r="H14" s="117">
        <f t="shared" si="0"/>
        <v>-0.34271645101663584</v>
      </c>
      <c r="I14" s="100" t="s">
        <v>180</v>
      </c>
    </row>
    <row r="15" spans="1:48" ht="89.25">
      <c r="A15" s="185"/>
      <c r="B15" s="181"/>
      <c r="C15" s="100" t="s">
        <v>252</v>
      </c>
      <c r="D15" s="100" t="s">
        <v>234</v>
      </c>
      <c r="E15" s="114" t="s">
        <v>164</v>
      </c>
      <c r="F15" s="117">
        <v>80.924855491329481</v>
      </c>
      <c r="G15" s="118">
        <f>G13/33700*100</f>
        <v>120.4005934718101</v>
      </c>
      <c r="H15" s="117">
        <f>G15-F15</f>
        <v>39.475737980480616</v>
      </c>
      <c r="I15" s="100" t="s">
        <v>429</v>
      </c>
    </row>
    <row r="16" spans="1:48" s="79" customFormat="1" ht="25.5">
      <c r="A16" s="183" t="s">
        <v>391</v>
      </c>
      <c r="B16" s="179" t="s">
        <v>167</v>
      </c>
      <c r="C16" s="100" t="s">
        <v>250</v>
      </c>
      <c r="D16" s="100"/>
      <c r="E16" s="114" t="s">
        <v>163</v>
      </c>
      <c r="F16" s="115">
        <f>'виконання ІС'!E14</f>
        <v>8092.61</v>
      </c>
      <c r="G16" s="115">
        <f>'виконання ІС'!I14</f>
        <v>2226.34</v>
      </c>
      <c r="H16" s="119">
        <f t="shared" si="0"/>
        <v>-5866.2699999999995</v>
      </c>
      <c r="I16" s="100" t="s">
        <v>507</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row>
    <row r="17" spans="1:48" ht="89.25">
      <c r="A17" s="184"/>
      <c r="B17" s="180"/>
      <c r="C17" s="100" t="s">
        <v>251</v>
      </c>
      <c r="D17" s="100" t="s">
        <v>235</v>
      </c>
      <c r="E17" s="114" t="s">
        <v>415</v>
      </c>
      <c r="F17" s="113">
        <v>21500</v>
      </c>
      <c r="G17" s="113">
        <v>15865</v>
      </c>
      <c r="H17" s="113">
        <f t="shared" si="0"/>
        <v>-5635</v>
      </c>
      <c r="I17" s="100" t="s">
        <v>428</v>
      </c>
    </row>
    <row r="18" spans="1:48" ht="38.25">
      <c r="A18" s="184"/>
      <c r="B18" s="180"/>
      <c r="C18" s="100" t="s">
        <v>382</v>
      </c>
      <c r="D18" s="100" t="s">
        <v>236</v>
      </c>
      <c r="E18" s="114" t="s">
        <v>163</v>
      </c>
      <c r="F18" s="113">
        <v>0.38</v>
      </c>
      <c r="G18" s="118">
        <f>G16/G17</f>
        <v>0.14033028679483139</v>
      </c>
      <c r="H18" s="117">
        <v>0</v>
      </c>
      <c r="I18" s="100" t="s">
        <v>180</v>
      </c>
    </row>
    <row r="19" spans="1:48" ht="89.25">
      <c r="A19" s="185"/>
      <c r="B19" s="181"/>
      <c r="C19" s="100" t="s">
        <v>252</v>
      </c>
      <c r="D19" s="100" t="s">
        <v>238</v>
      </c>
      <c r="E19" s="114" t="s">
        <v>164</v>
      </c>
      <c r="F19" s="117">
        <v>64.564564564564563</v>
      </c>
      <c r="G19" s="117">
        <f>G17/32200*100</f>
        <v>49.270186335403729</v>
      </c>
      <c r="H19" s="117">
        <f t="shared" si="0"/>
        <v>-15.294378229160834</v>
      </c>
      <c r="I19" s="100" t="s">
        <v>430</v>
      </c>
    </row>
    <row r="20" spans="1:48" s="79" customFormat="1" ht="25.5">
      <c r="A20" s="183" t="s">
        <v>392</v>
      </c>
      <c r="B20" s="100" t="s">
        <v>166</v>
      </c>
      <c r="C20" s="100" t="s">
        <v>250</v>
      </c>
      <c r="D20" s="100"/>
      <c r="E20" s="114" t="s">
        <v>163</v>
      </c>
      <c r="F20" s="115">
        <f>'виконання ІС'!E15</f>
        <v>5320.13</v>
      </c>
      <c r="G20" s="115">
        <f>'виконання ІС'!I15</f>
        <v>1648.06</v>
      </c>
      <c r="H20" s="115">
        <f>G20-F20</f>
        <v>-3672.07</v>
      </c>
      <c r="I20" s="100" t="s">
        <v>180</v>
      </c>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row>
    <row r="21" spans="1:48" ht="51">
      <c r="A21" s="184"/>
      <c r="B21" s="100"/>
      <c r="C21" s="100" t="s">
        <v>251</v>
      </c>
      <c r="D21" s="100" t="s">
        <v>241</v>
      </c>
      <c r="E21" s="114" t="s">
        <v>415</v>
      </c>
      <c r="F21" s="113">
        <v>8100</v>
      </c>
      <c r="G21" s="113">
        <v>13339</v>
      </c>
      <c r="H21" s="113">
        <f>G21-F21</f>
        <v>5239</v>
      </c>
      <c r="I21" s="100" t="s">
        <v>431</v>
      </c>
    </row>
    <row r="22" spans="1:48" ht="38.25">
      <c r="A22" s="184"/>
      <c r="B22" s="114"/>
      <c r="C22" s="100" t="s">
        <v>382</v>
      </c>
      <c r="D22" s="100" t="s">
        <v>242</v>
      </c>
      <c r="E22" s="114" t="s">
        <v>163</v>
      </c>
      <c r="F22" s="113">
        <v>0.66</v>
      </c>
      <c r="G22" s="117">
        <f>G20/G21</f>
        <v>0.12355199040407826</v>
      </c>
      <c r="H22" s="120">
        <f>G22-F22</f>
        <v>-0.53644800959592176</v>
      </c>
      <c r="I22" s="100" t="s">
        <v>180</v>
      </c>
    </row>
    <row r="23" spans="1:48" ht="102">
      <c r="A23" s="185"/>
      <c r="B23" s="114"/>
      <c r="C23" s="100" t="s">
        <v>239</v>
      </c>
      <c r="D23" s="100" t="s">
        <v>243</v>
      </c>
      <c r="E23" s="114" t="s">
        <v>164</v>
      </c>
      <c r="F23" s="117">
        <v>77.142857142857139</v>
      </c>
      <c r="G23" s="118">
        <f>G21/14600*100</f>
        <v>91.363013698630141</v>
      </c>
      <c r="H23" s="120">
        <f>G23-F23</f>
        <v>14.220156555773002</v>
      </c>
      <c r="I23" s="100" t="s">
        <v>432</v>
      </c>
    </row>
    <row r="24" spans="1:48" s="79" customFormat="1" ht="63.75" customHeight="1">
      <c r="A24" s="186" t="s">
        <v>52</v>
      </c>
      <c r="B24" s="179" t="s">
        <v>53</v>
      </c>
      <c r="C24" s="100" t="s">
        <v>250</v>
      </c>
      <c r="D24" s="114"/>
      <c r="E24" s="114" t="s">
        <v>163</v>
      </c>
      <c r="F24" s="115">
        <f>'виконання ІС'!E16</f>
        <v>350</v>
      </c>
      <c r="G24" s="115">
        <f>'виконання ІС'!I16</f>
        <v>4473.6400000000003</v>
      </c>
      <c r="H24" s="115">
        <v>-350</v>
      </c>
      <c r="I24" s="100" t="s">
        <v>434</v>
      </c>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row>
    <row r="25" spans="1:48" ht="51">
      <c r="A25" s="187"/>
      <c r="B25" s="181"/>
      <c r="C25" s="100" t="s">
        <v>239</v>
      </c>
      <c r="D25" s="100" t="s">
        <v>244</v>
      </c>
      <c r="E25" s="114" t="s">
        <v>164</v>
      </c>
      <c r="F25" s="100">
        <v>30</v>
      </c>
      <c r="G25" s="118">
        <f>(G13+G17+G21)*100/80500</f>
        <v>86.681987577639745</v>
      </c>
      <c r="H25" s="100">
        <v>-30</v>
      </c>
      <c r="I25" s="99" t="s">
        <v>433</v>
      </c>
    </row>
    <row r="26" spans="1:48" s="79" customFormat="1" ht="51" customHeight="1">
      <c r="A26" s="186" t="s">
        <v>55</v>
      </c>
      <c r="B26" s="179" t="s">
        <v>169</v>
      </c>
      <c r="C26" s="100" t="s">
        <v>250</v>
      </c>
      <c r="D26" s="114"/>
      <c r="E26" s="114" t="s">
        <v>163</v>
      </c>
      <c r="F26" s="115">
        <f>'виконання ІС'!E17</f>
        <v>0</v>
      </c>
      <c r="G26" s="115">
        <f>'виконання ІС'!I17</f>
        <v>1872.85</v>
      </c>
      <c r="H26" s="115">
        <f t="shared" ref="H26:H32" si="1">G26-F26</f>
        <v>1872.85</v>
      </c>
      <c r="I26" s="100" t="s">
        <v>180</v>
      </c>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row>
    <row r="27" spans="1:48" ht="178.5">
      <c r="A27" s="188"/>
      <c r="B27" s="180"/>
      <c r="C27" s="100" t="s">
        <v>251</v>
      </c>
      <c r="D27" s="100" t="s">
        <v>245</v>
      </c>
      <c r="E27" s="114" t="s">
        <v>415</v>
      </c>
      <c r="F27" s="100">
        <v>2</v>
      </c>
      <c r="G27" s="100">
        <v>2</v>
      </c>
      <c r="H27" s="120">
        <f t="shared" si="1"/>
        <v>0</v>
      </c>
      <c r="I27" s="100" t="s">
        <v>443</v>
      </c>
    </row>
    <row r="28" spans="1:48" ht="38.25">
      <c r="A28" s="187"/>
      <c r="B28" s="181"/>
      <c r="C28" s="100" t="s">
        <v>239</v>
      </c>
      <c r="D28" s="100" t="s">
        <v>246</v>
      </c>
      <c r="E28" s="114" t="s">
        <v>164</v>
      </c>
      <c r="F28" s="121">
        <v>73.469387755102048</v>
      </c>
      <c r="G28" s="118">
        <f>(G13+G17+G21)/80500*100</f>
        <v>86.681987577639745</v>
      </c>
      <c r="H28" s="120">
        <f t="shared" si="1"/>
        <v>13.212599822537697</v>
      </c>
      <c r="I28" s="100" t="s">
        <v>435</v>
      </c>
    </row>
    <row r="29" spans="1:48" s="79" customFormat="1" ht="51" customHeight="1">
      <c r="A29" s="186" t="s">
        <v>170</v>
      </c>
      <c r="B29" s="179" t="s">
        <v>59</v>
      </c>
      <c r="C29" s="100" t="s">
        <v>253</v>
      </c>
      <c r="D29" s="114"/>
      <c r="E29" s="114" t="s">
        <v>163</v>
      </c>
      <c r="F29" s="115">
        <f>'виконання ІС'!E18</f>
        <v>1860</v>
      </c>
      <c r="G29" s="115">
        <f>'виконання ІС'!I18</f>
        <v>759.03</v>
      </c>
      <c r="H29" s="115">
        <f t="shared" si="1"/>
        <v>-1100.97</v>
      </c>
      <c r="I29" s="100" t="s">
        <v>180</v>
      </c>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row>
    <row r="30" spans="1:48" ht="76.5">
      <c r="A30" s="188"/>
      <c r="B30" s="180"/>
      <c r="C30" s="100" t="s">
        <v>251</v>
      </c>
      <c r="D30" s="100" t="s">
        <v>247</v>
      </c>
      <c r="E30" s="114" t="s">
        <v>165</v>
      </c>
      <c r="F30" s="100">
        <v>4</v>
      </c>
      <c r="G30" s="100">
        <v>4</v>
      </c>
      <c r="H30" s="120">
        <f t="shared" si="1"/>
        <v>0</v>
      </c>
      <c r="I30" s="100" t="s">
        <v>519</v>
      </c>
    </row>
    <row r="31" spans="1:48" ht="25.5">
      <c r="A31" s="188"/>
      <c r="B31" s="180"/>
      <c r="C31" s="100" t="s">
        <v>382</v>
      </c>
      <c r="D31" s="100" t="s">
        <v>248</v>
      </c>
      <c r="E31" s="114" t="s">
        <v>163</v>
      </c>
      <c r="F31" s="100">
        <v>465</v>
      </c>
      <c r="G31" s="118">
        <f>G29/G30</f>
        <v>189.75749999999999</v>
      </c>
      <c r="H31" s="120">
        <f t="shared" si="1"/>
        <v>-275.24250000000001</v>
      </c>
      <c r="I31" s="100" t="s">
        <v>180</v>
      </c>
    </row>
    <row r="32" spans="1:48" ht="114.75">
      <c r="A32" s="187"/>
      <c r="B32" s="181"/>
      <c r="C32" s="100" t="s">
        <v>239</v>
      </c>
      <c r="D32" s="100" t="s">
        <v>249</v>
      </c>
      <c r="E32" s="114" t="s">
        <v>164</v>
      </c>
      <c r="F32" s="100">
        <v>55</v>
      </c>
      <c r="G32" s="118">
        <f>(G13+G17+G21)/80500*100</f>
        <v>86.681987577639745</v>
      </c>
      <c r="H32" s="120">
        <f t="shared" si="1"/>
        <v>31.681987577639745</v>
      </c>
      <c r="I32" s="100" t="s">
        <v>520</v>
      </c>
    </row>
    <row r="33" spans="1:48" s="79" customFormat="1" ht="51" customHeight="1">
      <c r="A33" s="186" t="s">
        <v>60</v>
      </c>
      <c r="B33" s="179" t="s">
        <v>171</v>
      </c>
      <c r="C33" s="100" t="s">
        <v>250</v>
      </c>
      <c r="D33" s="100"/>
      <c r="E33" s="114" t="s">
        <v>163</v>
      </c>
      <c r="F33" s="115">
        <f>'виконання ІС'!E19</f>
        <v>5852.41</v>
      </c>
      <c r="G33" s="115">
        <f>'виконання ІС'!I19</f>
        <v>122.2</v>
      </c>
      <c r="H33" s="115">
        <f t="shared" ref="H33:H98" si="2">G33-F33</f>
        <v>-5730.21</v>
      </c>
      <c r="I33" s="100" t="s">
        <v>515</v>
      </c>
      <c r="J33" s="58"/>
      <c r="K33" s="71"/>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row>
    <row r="34" spans="1:48" ht="51">
      <c r="A34" s="188"/>
      <c r="B34" s="180"/>
      <c r="C34" s="100" t="s">
        <v>251</v>
      </c>
      <c r="D34" s="100" t="s">
        <v>254</v>
      </c>
      <c r="E34" s="114" t="s">
        <v>165</v>
      </c>
      <c r="F34" s="113">
        <v>7290</v>
      </c>
      <c r="G34" s="113">
        <v>752</v>
      </c>
      <c r="H34" s="113">
        <f t="shared" si="2"/>
        <v>-6538</v>
      </c>
      <c r="I34" s="100" t="s">
        <v>436</v>
      </c>
    </row>
    <row r="35" spans="1:48" ht="25.5">
      <c r="A35" s="188"/>
      <c r="B35" s="180"/>
      <c r="C35" s="100" t="s">
        <v>240</v>
      </c>
      <c r="D35" s="100" t="s">
        <v>255</v>
      </c>
      <c r="E35" s="114" t="s">
        <v>163</v>
      </c>
      <c r="F35" s="117">
        <v>0.80279972565157753</v>
      </c>
      <c r="G35" s="122">
        <f>G33/G34</f>
        <v>0.16250000000000001</v>
      </c>
      <c r="H35" s="117">
        <f t="shared" si="2"/>
        <v>-0.64029972565157756</v>
      </c>
      <c r="I35" s="100" t="s">
        <v>180</v>
      </c>
    </row>
    <row r="36" spans="1:48" ht="63.75">
      <c r="A36" s="187"/>
      <c r="B36" s="181"/>
      <c r="C36" s="100" t="s">
        <v>237</v>
      </c>
      <c r="D36" s="100" t="s">
        <v>256</v>
      </c>
      <c r="E36" s="114" t="s">
        <v>164</v>
      </c>
      <c r="F36" s="118">
        <f>F34*100/33300</f>
        <v>21.891891891891891</v>
      </c>
      <c r="G36" s="118">
        <f>G34*100/33300</f>
        <v>2.2582582582582584</v>
      </c>
      <c r="H36" s="117">
        <f t="shared" si="2"/>
        <v>-19.633633633633632</v>
      </c>
      <c r="I36" s="100" t="s">
        <v>437</v>
      </c>
    </row>
    <row r="37" spans="1:48" s="79" customFormat="1" ht="63.75" customHeight="1">
      <c r="A37" s="186" t="s">
        <v>63</v>
      </c>
      <c r="B37" s="179" t="s">
        <v>64</v>
      </c>
      <c r="C37" s="100" t="s">
        <v>250</v>
      </c>
      <c r="D37" s="114"/>
      <c r="E37" s="114" t="s">
        <v>163</v>
      </c>
      <c r="F37" s="115">
        <f>'виконання ІС'!E20</f>
        <v>635</v>
      </c>
      <c r="G37" s="115">
        <f>'виконання ІС'!I20</f>
        <v>57.76</v>
      </c>
      <c r="H37" s="115">
        <f t="shared" si="2"/>
        <v>-577.24</v>
      </c>
      <c r="I37" s="100" t="s">
        <v>516</v>
      </c>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row>
    <row r="38" spans="1:48" ht="63.75">
      <c r="A38" s="188"/>
      <c r="B38" s="180"/>
      <c r="C38" s="100" t="s">
        <v>251</v>
      </c>
      <c r="D38" s="100" t="s">
        <v>257</v>
      </c>
      <c r="E38" s="114" t="s">
        <v>415</v>
      </c>
      <c r="F38" s="100">
        <v>240</v>
      </c>
      <c r="G38" s="100">
        <v>132</v>
      </c>
      <c r="H38" s="120">
        <f t="shared" si="2"/>
        <v>-108</v>
      </c>
      <c r="I38" s="100" t="s">
        <v>439</v>
      </c>
    </row>
    <row r="39" spans="1:48" ht="51">
      <c r="A39" s="188"/>
      <c r="B39" s="180"/>
      <c r="C39" s="100" t="s">
        <v>382</v>
      </c>
      <c r="D39" s="100" t="s">
        <v>258</v>
      </c>
      <c r="E39" s="114" t="s">
        <v>177</v>
      </c>
      <c r="F39" s="100">
        <v>2.65</v>
      </c>
      <c r="G39" s="117">
        <f>G37/G38</f>
        <v>0.43757575757575756</v>
      </c>
      <c r="H39" s="120">
        <f t="shared" si="2"/>
        <v>-2.2124242424242424</v>
      </c>
      <c r="I39" s="100" t="s">
        <v>517</v>
      </c>
    </row>
    <row r="40" spans="1:48" ht="76.5">
      <c r="A40" s="187"/>
      <c r="B40" s="181"/>
      <c r="C40" s="100" t="s">
        <v>237</v>
      </c>
      <c r="D40" s="100" t="s">
        <v>259</v>
      </c>
      <c r="E40" s="114" t="s">
        <v>164</v>
      </c>
      <c r="F40" s="100">
        <v>80</v>
      </c>
      <c r="G40" s="117">
        <f>G38/132*100</f>
        <v>100</v>
      </c>
      <c r="H40" s="117">
        <f t="shared" si="2"/>
        <v>20</v>
      </c>
      <c r="I40" s="100" t="s">
        <v>440</v>
      </c>
    </row>
    <row r="41" spans="1:48" s="79" customFormat="1" ht="63.75">
      <c r="A41" s="113" t="s">
        <v>65</v>
      </c>
      <c r="B41" s="100" t="s">
        <v>173</v>
      </c>
      <c r="C41" s="100" t="s">
        <v>250</v>
      </c>
      <c r="D41" s="114"/>
      <c r="E41" s="114" t="s">
        <v>177</v>
      </c>
      <c r="F41" s="115">
        <f>'виконання ІС'!E21</f>
        <v>2044</v>
      </c>
      <c r="G41" s="115">
        <f>'виконання ІС'!I21</f>
        <v>2522.0830000000001</v>
      </c>
      <c r="H41" s="115">
        <f t="shared" si="2"/>
        <v>478.08300000000008</v>
      </c>
      <c r="I41" s="100" t="s">
        <v>508</v>
      </c>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row>
    <row r="42" spans="1:48" ht="89.25">
      <c r="A42" s="116" t="s">
        <v>394</v>
      </c>
      <c r="B42" s="100" t="s">
        <v>395</v>
      </c>
      <c r="C42" s="100"/>
      <c r="D42" s="100"/>
      <c r="E42" s="100"/>
      <c r="F42" s="100"/>
      <c r="G42" s="100"/>
      <c r="H42" s="117"/>
      <c r="I42" s="100" t="s">
        <v>441</v>
      </c>
    </row>
    <row r="43" spans="1:48" s="79" customFormat="1" ht="89.25">
      <c r="A43" s="116" t="s">
        <v>396</v>
      </c>
      <c r="B43" s="100" t="s">
        <v>399</v>
      </c>
      <c r="C43" s="100" t="s">
        <v>250</v>
      </c>
      <c r="D43" s="100"/>
      <c r="E43" s="114" t="s">
        <v>177</v>
      </c>
      <c r="F43" s="117">
        <v>0</v>
      </c>
      <c r="G43" s="117">
        <v>0</v>
      </c>
      <c r="H43" s="123">
        <v>0</v>
      </c>
      <c r="I43" s="100" t="s">
        <v>441</v>
      </c>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row>
    <row r="44" spans="1:48" ht="38.25">
      <c r="A44" s="183" t="s">
        <v>397</v>
      </c>
      <c r="B44" s="179" t="s">
        <v>398</v>
      </c>
      <c r="C44" s="100" t="s">
        <v>251</v>
      </c>
      <c r="D44" s="100" t="s">
        <v>260</v>
      </c>
      <c r="E44" s="114" t="s">
        <v>415</v>
      </c>
      <c r="F44" s="117">
        <v>0</v>
      </c>
      <c r="G44" s="117">
        <v>0</v>
      </c>
      <c r="H44" s="117">
        <f>G44-F44</f>
        <v>0</v>
      </c>
      <c r="I44" s="100" t="s">
        <v>441</v>
      </c>
    </row>
    <row r="45" spans="1:48" ht="25.5">
      <c r="A45" s="184"/>
      <c r="B45" s="180"/>
      <c r="C45" s="100" t="s">
        <v>382</v>
      </c>
      <c r="D45" s="100" t="s">
        <v>261</v>
      </c>
      <c r="E45" s="114" t="s">
        <v>163</v>
      </c>
      <c r="F45" s="124">
        <v>0</v>
      </c>
      <c r="G45" s="124">
        <v>0</v>
      </c>
      <c r="H45" s="117">
        <f t="shared" si="2"/>
        <v>0</v>
      </c>
      <c r="I45" s="100" t="s">
        <v>441</v>
      </c>
    </row>
    <row r="46" spans="1:48" ht="51">
      <c r="A46" s="185"/>
      <c r="B46" s="181"/>
      <c r="C46" s="100" t="s">
        <v>237</v>
      </c>
      <c r="D46" s="100" t="s">
        <v>262</v>
      </c>
      <c r="E46" s="114" t="s">
        <v>164</v>
      </c>
      <c r="F46" s="117">
        <v>0</v>
      </c>
      <c r="G46" s="117">
        <v>0</v>
      </c>
      <c r="H46" s="117">
        <f t="shared" si="2"/>
        <v>0</v>
      </c>
      <c r="I46" s="100" t="s">
        <v>441</v>
      </c>
    </row>
    <row r="47" spans="1:48" s="79" customFormat="1">
      <c r="A47" s="183" t="s">
        <v>393</v>
      </c>
      <c r="B47" s="179" t="s">
        <v>172</v>
      </c>
      <c r="C47" s="100" t="s">
        <v>250</v>
      </c>
      <c r="D47" s="100"/>
      <c r="E47" s="114" t="s">
        <v>163</v>
      </c>
      <c r="F47" s="115">
        <f>'виконання ІС'!E25</f>
        <v>2044</v>
      </c>
      <c r="G47" s="115">
        <f>'виконання ІС'!I25</f>
        <v>2522.0830000000001</v>
      </c>
      <c r="H47" s="115">
        <f t="shared" si="2"/>
        <v>478.08300000000008</v>
      </c>
      <c r="I47" s="100" t="s">
        <v>180</v>
      </c>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row>
    <row r="48" spans="1:48" ht="38.25">
      <c r="A48" s="184"/>
      <c r="B48" s="180"/>
      <c r="C48" s="100" t="s">
        <v>251</v>
      </c>
      <c r="D48" s="100" t="s">
        <v>263</v>
      </c>
      <c r="E48" s="114" t="s">
        <v>415</v>
      </c>
      <c r="F48" s="100">
        <v>1750</v>
      </c>
      <c r="G48" s="100">
        <v>1227</v>
      </c>
      <c r="H48" s="117">
        <f t="shared" si="2"/>
        <v>-523</v>
      </c>
      <c r="I48" s="100" t="s">
        <v>442</v>
      </c>
    </row>
    <row r="49" spans="1:48" ht="51">
      <c r="A49" s="184"/>
      <c r="B49" s="180"/>
      <c r="C49" s="100" t="s">
        <v>251</v>
      </c>
      <c r="D49" s="100" t="s">
        <v>264</v>
      </c>
      <c r="E49" s="114" t="s">
        <v>415</v>
      </c>
      <c r="F49" s="100">
        <v>1400</v>
      </c>
      <c r="G49" s="100">
        <v>1137</v>
      </c>
      <c r="H49" s="117">
        <f t="shared" si="2"/>
        <v>-263</v>
      </c>
      <c r="I49" s="100" t="s">
        <v>444</v>
      </c>
    </row>
    <row r="50" spans="1:48" ht="38.25">
      <c r="A50" s="184"/>
      <c r="B50" s="180"/>
      <c r="C50" s="99" t="s">
        <v>251</v>
      </c>
      <c r="D50" s="99" t="s">
        <v>265</v>
      </c>
      <c r="E50" s="125" t="s">
        <v>415</v>
      </c>
      <c r="F50" s="99">
        <v>0</v>
      </c>
      <c r="G50" s="100">
        <v>40</v>
      </c>
      <c r="H50" s="126">
        <f t="shared" si="2"/>
        <v>40</v>
      </c>
      <c r="I50" s="99" t="s">
        <v>509</v>
      </c>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row>
    <row r="51" spans="1:48" ht="38.25">
      <c r="A51" s="184"/>
      <c r="B51" s="180"/>
      <c r="C51" s="99" t="s">
        <v>251</v>
      </c>
      <c r="D51" s="99" t="s">
        <v>266</v>
      </c>
      <c r="E51" s="125" t="s">
        <v>415</v>
      </c>
      <c r="F51" s="99">
        <v>350</v>
      </c>
      <c r="G51" s="100">
        <v>50</v>
      </c>
      <c r="H51" s="126">
        <f t="shared" si="2"/>
        <v>-300</v>
      </c>
      <c r="I51" s="99" t="s">
        <v>445</v>
      </c>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row>
    <row r="52" spans="1:48" ht="51">
      <c r="A52" s="184"/>
      <c r="B52" s="180"/>
      <c r="C52" s="99" t="s">
        <v>382</v>
      </c>
      <c r="D52" s="99" t="s">
        <v>267</v>
      </c>
      <c r="E52" s="125" t="s">
        <v>163</v>
      </c>
      <c r="F52" s="127">
        <v>1.1679999999999999</v>
      </c>
      <c r="G52" s="124">
        <f>G47/G48</f>
        <v>2.0554873675631624</v>
      </c>
      <c r="H52" s="126">
        <f t="shared" si="2"/>
        <v>0.88748736756316249</v>
      </c>
      <c r="I52" s="99" t="s">
        <v>510</v>
      </c>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row>
    <row r="53" spans="1:48" ht="76.5">
      <c r="A53" s="185"/>
      <c r="B53" s="181"/>
      <c r="C53" s="99" t="s">
        <v>400</v>
      </c>
      <c r="D53" s="99" t="s">
        <v>268</v>
      </c>
      <c r="E53" s="125" t="s">
        <v>164</v>
      </c>
      <c r="F53" s="128">
        <v>35</v>
      </c>
      <c r="G53" s="117">
        <f>G48/5782*100</f>
        <v>21.221030785195431</v>
      </c>
      <c r="H53" s="126">
        <f t="shared" si="2"/>
        <v>-13.778969214804569</v>
      </c>
      <c r="I53" s="99" t="s">
        <v>446</v>
      </c>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row>
    <row r="54" spans="1:48" s="79" customFormat="1" ht="38.25">
      <c r="A54" s="113" t="s">
        <v>76</v>
      </c>
      <c r="B54" s="100" t="s">
        <v>77</v>
      </c>
      <c r="C54" s="100" t="s">
        <v>250</v>
      </c>
      <c r="D54" s="114"/>
      <c r="E54" s="114" t="s">
        <v>177</v>
      </c>
      <c r="F54" s="115">
        <f>'виконання ІС'!E26</f>
        <v>1714.58</v>
      </c>
      <c r="G54" s="115">
        <v>871.6</v>
      </c>
      <c r="H54" s="115">
        <f t="shared" si="2"/>
        <v>-842.9799999999999</v>
      </c>
      <c r="I54" s="100" t="s">
        <v>180</v>
      </c>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row>
    <row r="55" spans="1:48" ht="38.25">
      <c r="A55" s="116" t="s">
        <v>387</v>
      </c>
      <c r="B55" s="100" t="s">
        <v>174</v>
      </c>
      <c r="C55" s="100" t="s">
        <v>251</v>
      </c>
      <c r="D55" s="100" t="s">
        <v>174</v>
      </c>
      <c r="E55" s="114" t="s">
        <v>415</v>
      </c>
      <c r="F55" s="100">
        <v>37500</v>
      </c>
      <c r="G55" s="129">
        <v>20938</v>
      </c>
      <c r="H55" s="117">
        <f t="shared" si="2"/>
        <v>-16562</v>
      </c>
      <c r="I55" s="100" t="s">
        <v>447</v>
      </c>
    </row>
    <row r="56" spans="1:48" ht="89.25">
      <c r="A56" s="183" t="s">
        <v>388</v>
      </c>
      <c r="B56" s="179" t="s">
        <v>175</v>
      </c>
      <c r="C56" s="100" t="s">
        <v>251</v>
      </c>
      <c r="D56" s="100" t="s">
        <v>270</v>
      </c>
      <c r="E56" s="114" t="s">
        <v>415</v>
      </c>
      <c r="F56" s="100">
        <v>300</v>
      </c>
      <c r="G56" s="100">
        <v>126</v>
      </c>
      <c r="H56" s="117">
        <f t="shared" si="2"/>
        <v>-174</v>
      </c>
      <c r="I56" s="100" t="s">
        <v>448</v>
      </c>
    </row>
    <row r="57" spans="1:48" ht="51">
      <c r="A57" s="185"/>
      <c r="B57" s="181"/>
      <c r="C57" s="100" t="s">
        <v>382</v>
      </c>
      <c r="D57" s="100" t="s">
        <v>269</v>
      </c>
      <c r="E57" s="114" t="s">
        <v>177</v>
      </c>
      <c r="F57" s="124">
        <v>5.7152666666666665</v>
      </c>
      <c r="G57" s="129">
        <f>G54/G56</f>
        <v>6.9174603174603178</v>
      </c>
      <c r="H57" s="117">
        <f t="shared" si="2"/>
        <v>1.2021936507936513</v>
      </c>
      <c r="I57" s="100" t="s">
        <v>449</v>
      </c>
    </row>
    <row r="58" spans="1:48" ht="76.5">
      <c r="A58" s="183" t="s">
        <v>389</v>
      </c>
      <c r="B58" s="179" t="s">
        <v>176</v>
      </c>
      <c r="C58" s="100" t="s">
        <v>251</v>
      </c>
      <c r="D58" s="100" t="s">
        <v>271</v>
      </c>
      <c r="E58" s="114" t="s">
        <v>415</v>
      </c>
      <c r="F58" s="100">
        <v>300</v>
      </c>
      <c r="G58" s="129">
        <v>113</v>
      </c>
      <c r="H58" s="117">
        <f t="shared" si="2"/>
        <v>-187</v>
      </c>
      <c r="I58" s="100" t="s">
        <v>450</v>
      </c>
    </row>
    <row r="59" spans="1:48" ht="219" customHeight="1">
      <c r="A59" s="185"/>
      <c r="B59" s="181"/>
      <c r="C59" s="100" t="s">
        <v>252</v>
      </c>
      <c r="D59" s="100" t="s">
        <v>272</v>
      </c>
      <c r="E59" s="114" t="s">
        <v>164</v>
      </c>
      <c r="F59" s="100">
        <v>1</v>
      </c>
      <c r="G59" s="118">
        <v>2.5</v>
      </c>
      <c r="H59" s="117">
        <f t="shared" si="2"/>
        <v>1.5</v>
      </c>
      <c r="I59" s="100" t="s">
        <v>451</v>
      </c>
    </row>
    <row r="60" spans="1:48" s="79" customFormat="1" ht="89.25" customHeight="1">
      <c r="A60" s="186" t="s">
        <v>178</v>
      </c>
      <c r="B60" s="179" t="s">
        <v>82</v>
      </c>
      <c r="C60" s="100" t="s">
        <v>250</v>
      </c>
      <c r="D60" s="114"/>
      <c r="E60" s="114" t="s">
        <v>177</v>
      </c>
      <c r="F60" s="115">
        <f>'виконання ІС'!E30</f>
        <v>150</v>
      </c>
      <c r="G60" s="115">
        <f>'виконання ІС'!I30</f>
        <v>0</v>
      </c>
      <c r="H60" s="115">
        <f t="shared" si="2"/>
        <v>-150</v>
      </c>
      <c r="I60" s="100" t="s">
        <v>453</v>
      </c>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row>
    <row r="61" spans="1:48" ht="89.25">
      <c r="A61" s="188"/>
      <c r="B61" s="180"/>
      <c r="C61" s="100" t="s">
        <v>251</v>
      </c>
      <c r="D61" s="100" t="s">
        <v>384</v>
      </c>
      <c r="E61" s="114" t="s">
        <v>415</v>
      </c>
      <c r="F61" s="100">
        <v>60</v>
      </c>
      <c r="G61" s="129">
        <v>73</v>
      </c>
      <c r="H61" s="117">
        <f t="shared" si="2"/>
        <v>13</v>
      </c>
      <c r="I61" s="100" t="s">
        <v>452</v>
      </c>
    </row>
    <row r="62" spans="1:48" ht="63.75">
      <c r="A62" s="188"/>
      <c r="B62" s="180"/>
      <c r="C62" s="100" t="s">
        <v>382</v>
      </c>
      <c r="D62" s="100" t="s">
        <v>385</v>
      </c>
      <c r="E62" s="114" t="s">
        <v>177</v>
      </c>
      <c r="F62" s="130">
        <v>2.5</v>
      </c>
      <c r="G62" s="124">
        <f>G60/G61</f>
        <v>0</v>
      </c>
      <c r="H62" s="117">
        <f t="shared" si="2"/>
        <v>-2.5</v>
      </c>
      <c r="I62" s="100" t="s">
        <v>453</v>
      </c>
    </row>
    <row r="63" spans="1:48" ht="38.25">
      <c r="A63" s="187"/>
      <c r="B63" s="181"/>
      <c r="C63" s="100" t="s">
        <v>252</v>
      </c>
      <c r="D63" s="100" t="s">
        <v>386</v>
      </c>
      <c r="E63" s="114" t="s">
        <v>164</v>
      </c>
      <c r="F63" s="121">
        <v>90</v>
      </c>
      <c r="G63" s="130">
        <f>G61/F61*100</f>
        <v>121.66666666666666</v>
      </c>
      <c r="H63" s="117">
        <f t="shared" si="2"/>
        <v>31.666666666666657</v>
      </c>
      <c r="I63" s="100" t="s">
        <v>454</v>
      </c>
    </row>
    <row r="64" spans="1:48" ht="13.5">
      <c r="A64" s="131" t="s">
        <v>84</v>
      </c>
      <c r="B64" s="170" t="s">
        <v>85</v>
      </c>
      <c r="C64" s="170"/>
      <c r="D64" s="170"/>
      <c r="E64" s="170"/>
      <c r="F64" s="170"/>
      <c r="G64" s="170"/>
      <c r="H64" s="170"/>
      <c r="I64" s="100" t="s">
        <v>180</v>
      </c>
    </row>
    <row r="65" spans="1:48" s="79" customFormat="1" ht="51">
      <c r="A65" s="113" t="s">
        <v>86</v>
      </c>
      <c r="B65" s="100" t="s">
        <v>87</v>
      </c>
      <c r="C65" s="100" t="s">
        <v>250</v>
      </c>
      <c r="D65" s="114"/>
      <c r="E65" s="114" t="s">
        <v>177</v>
      </c>
      <c r="F65" s="115">
        <f>'виконання ІС'!E32</f>
        <v>5844.37</v>
      </c>
      <c r="G65" s="115">
        <f>'виконання ІС'!I32</f>
        <v>5264.8580000000002</v>
      </c>
      <c r="H65" s="115">
        <f t="shared" si="2"/>
        <v>-579.51199999999972</v>
      </c>
      <c r="I65" s="100" t="s">
        <v>180</v>
      </c>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row>
    <row r="66" spans="1:48" ht="102">
      <c r="A66" s="113"/>
      <c r="B66" s="114"/>
      <c r="C66" s="100" t="s">
        <v>251</v>
      </c>
      <c r="D66" s="100" t="s">
        <v>273</v>
      </c>
      <c r="E66" s="114" t="s">
        <v>415</v>
      </c>
      <c r="F66" s="100">
        <v>70000</v>
      </c>
      <c r="G66" s="129">
        <v>58018</v>
      </c>
      <c r="H66" s="117">
        <f t="shared" si="2"/>
        <v>-11982</v>
      </c>
      <c r="I66" s="100" t="s">
        <v>455</v>
      </c>
    </row>
    <row r="67" spans="1:48" ht="76.5">
      <c r="A67" s="113"/>
      <c r="B67" s="114"/>
      <c r="C67" s="100" t="s">
        <v>251</v>
      </c>
      <c r="D67" s="100" t="s">
        <v>274</v>
      </c>
      <c r="E67" s="114" t="s">
        <v>415</v>
      </c>
      <c r="F67" s="100">
        <v>2310</v>
      </c>
      <c r="G67" s="129">
        <v>1168</v>
      </c>
      <c r="H67" s="117">
        <f t="shared" si="2"/>
        <v>-1142</v>
      </c>
      <c r="I67" s="100" t="s">
        <v>456</v>
      </c>
    </row>
    <row r="68" spans="1:48" ht="89.25">
      <c r="A68" s="113"/>
      <c r="B68" s="114"/>
      <c r="C68" s="100" t="s">
        <v>382</v>
      </c>
      <c r="D68" s="100" t="s">
        <v>275</v>
      </c>
      <c r="E68" s="114" t="s">
        <v>177</v>
      </c>
      <c r="F68" s="124">
        <v>2.5299999999999998</v>
      </c>
      <c r="G68" s="124">
        <f>G65/G67</f>
        <v>4.5075839041095893</v>
      </c>
      <c r="H68" s="117">
        <f t="shared" si="2"/>
        <v>1.9775839041095895</v>
      </c>
      <c r="I68" s="100" t="s">
        <v>457</v>
      </c>
    </row>
    <row r="69" spans="1:48" ht="63.75">
      <c r="A69" s="113"/>
      <c r="B69" s="114"/>
      <c r="C69" s="100" t="s">
        <v>252</v>
      </c>
      <c r="D69" s="100" t="s">
        <v>276</v>
      </c>
      <c r="E69" s="114" t="s">
        <v>164</v>
      </c>
      <c r="F69" s="117">
        <v>3.3</v>
      </c>
      <c r="G69" s="118">
        <f>G67/G66*100</f>
        <v>2.0131683270709093</v>
      </c>
      <c r="H69" s="117">
        <f t="shared" si="2"/>
        <v>-1.2868316729290905</v>
      </c>
      <c r="I69" s="100" t="s">
        <v>458</v>
      </c>
    </row>
    <row r="70" spans="1:48" ht="51">
      <c r="A70" s="113"/>
      <c r="B70" s="114"/>
      <c r="C70" s="100" t="s">
        <v>252</v>
      </c>
      <c r="D70" s="100" t="s">
        <v>277</v>
      </c>
      <c r="E70" s="114" t="s">
        <v>164</v>
      </c>
      <c r="F70" s="100">
        <v>86.5</v>
      </c>
      <c r="G70" s="118">
        <f>14910/19837*100</f>
        <v>75.162574986137017</v>
      </c>
      <c r="H70" s="117">
        <f t="shared" si="2"/>
        <v>-11.337425013862983</v>
      </c>
      <c r="I70" s="100" t="s">
        <v>459</v>
      </c>
    </row>
    <row r="71" spans="1:48" ht="63.75">
      <c r="A71" s="116" t="s">
        <v>414</v>
      </c>
      <c r="B71" s="100" t="s">
        <v>179</v>
      </c>
      <c r="C71" s="100" t="s">
        <v>251</v>
      </c>
      <c r="D71" s="100" t="s">
        <v>278</v>
      </c>
      <c r="E71" s="114" t="s">
        <v>417</v>
      </c>
      <c r="F71" s="100">
        <v>12</v>
      </c>
      <c r="G71" s="100">
        <v>0</v>
      </c>
      <c r="H71" s="117">
        <f t="shared" si="2"/>
        <v>-12</v>
      </c>
      <c r="I71" s="100" t="s">
        <v>460</v>
      </c>
    </row>
    <row r="72" spans="1:48" ht="76.5">
      <c r="A72" s="113"/>
      <c r="B72" s="114"/>
      <c r="C72" s="100" t="s">
        <v>252</v>
      </c>
      <c r="D72" s="100" t="s">
        <v>279</v>
      </c>
      <c r="E72" s="114" t="s">
        <v>164</v>
      </c>
      <c r="F72" s="100">
        <v>0</v>
      </c>
      <c r="G72" s="100">
        <v>981</v>
      </c>
      <c r="H72" s="117">
        <v>0</v>
      </c>
      <c r="I72" s="100" t="s">
        <v>461</v>
      </c>
    </row>
    <row r="73" spans="1:48" s="79" customFormat="1" ht="63.75">
      <c r="A73" s="113" t="s">
        <v>91</v>
      </c>
      <c r="B73" s="100" t="s">
        <v>92</v>
      </c>
      <c r="C73" s="100" t="s">
        <v>250</v>
      </c>
      <c r="D73" s="114"/>
      <c r="E73" s="114" t="s">
        <v>177</v>
      </c>
      <c r="F73" s="115">
        <f>'виконання ІС'!E34</f>
        <v>876.09999999999991</v>
      </c>
      <c r="G73" s="115">
        <f>'виконання ІС'!I34</f>
        <v>3685.8999999999996</v>
      </c>
      <c r="H73" s="115">
        <f t="shared" si="2"/>
        <v>2809.7999999999997</v>
      </c>
      <c r="I73" s="100" t="s">
        <v>518</v>
      </c>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row>
    <row r="74" spans="1:48" ht="153">
      <c r="A74" s="116" t="s">
        <v>401</v>
      </c>
      <c r="B74" s="132" t="s">
        <v>402</v>
      </c>
      <c r="C74" s="100" t="s">
        <v>251</v>
      </c>
      <c r="D74" s="100" t="s">
        <v>280</v>
      </c>
      <c r="E74" s="114" t="s">
        <v>415</v>
      </c>
      <c r="F74" s="100">
        <v>5760</v>
      </c>
      <c r="G74" s="100">
        <v>1173</v>
      </c>
      <c r="H74" s="117">
        <f t="shared" si="2"/>
        <v>-4587</v>
      </c>
      <c r="I74" s="100" t="s">
        <v>462</v>
      </c>
    </row>
    <row r="75" spans="1:48" ht="51">
      <c r="A75" s="116" t="s">
        <v>403</v>
      </c>
      <c r="B75" s="100" t="s">
        <v>404</v>
      </c>
      <c r="C75" s="100" t="s">
        <v>382</v>
      </c>
      <c r="D75" s="100" t="s">
        <v>281</v>
      </c>
      <c r="E75" s="114" t="s">
        <v>177</v>
      </c>
      <c r="F75" s="117">
        <v>0.15210069444444443</v>
      </c>
      <c r="G75" s="129">
        <f>G73/G74</f>
        <v>3.1422847399829492</v>
      </c>
      <c r="H75" s="117">
        <f t="shared" si="2"/>
        <v>2.9901840455385047</v>
      </c>
      <c r="I75" s="99" t="s">
        <v>511</v>
      </c>
    </row>
    <row r="76" spans="1:48" ht="63.75">
      <c r="A76" s="116" t="s">
        <v>405</v>
      </c>
      <c r="B76" s="100" t="s">
        <v>406</v>
      </c>
      <c r="C76" s="100" t="s">
        <v>252</v>
      </c>
      <c r="D76" s="100" t="s">
        <v>282</v>
      </c>
      <c r="E76" s="133" t="s">
        <v>164</v>
      </c>
      <c r="F76" s="121">
        <v>10</v>
      </c>
      <c r="G76" s="118">
        <f>687/13844*100</f>
        <v>4.9624386015602431</v>
      </c>
      <c r="H76" s="117">
        <f t="shared" si="2"/>
        <v>-5.0375613984397569</v>
      </c>
      <c r="I76" s="100" t="s">
        <v>463</v>
      </c>
    </row>
    <row r="77" spans="1:48" s="79" customFormat="1" ht="38.25">
      <c r="A77" s="113" t="s">
        <v>97</v>
      </c>
      <c r="B77" s="179" t="s">
        <v>181</v>
      </c>
      <c r="C77" s="100" t="s">
        <v>250</v>
      </c>
      <c r="D77" s="114"/>
      <c r="E77" s="114" t="s">
        <v>177</v>
      </c>
      <c r="F77" s="115">
        <f>'виконання ІС'!E38</f>
        <v>0</v>
      </c>
      <c r="G77" s="115">
        <f>'виконання ІС'!I38</f>
        <v>0</v>
      </c>
      <c r="H77" s="115">
        <f t="shared" si="2"/>
        <v>0</v>
      </c>
      <c r="I77" s="100" t="s">
        <v>464</v>
      </c>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row>
    <row r="78" spans="1:48" ht="38.25">
      <c r="A78" s="113"/>
      <c r="B78" s="180"/>
      <c r="C78" s="100" t="s">
        <v>251</v>
      </c>
      <c r="D78" s="114"/>
      <c r="E78" s="114" t="s">
        <v>417</v>
      </c>
      <c r="F78" s="100">
        <v>15</v>
      </c>
      <c r="G78" s="100">
        <v>0</v>
      </c>
      <c r="H78" s="117">
        <f t="shared" si="2"/>
        <v>-15</v>
      </c>
      <c r="I78" s="100" t="s">
        <v>464</v>
      </c>
    </row>
    <row r="79" spans="1:48" ht="38.25">
      <c r="A79" s="113"/>
      <c r="B79" s="181"/>
      <c r="C79" s="100" t="s">
        <v>252</v>
      </c>
      <c r="D79" s="100" t="s">
        <v>383</v>
      </c>
      <c r="E79" s="114" t="s">
        <v>164</v>
      </c>
      <c r="F79" s="100">
        <v>0</v>
      </c>
      <c r="G79" s="100">
        <v>0</v>
      </c>
      <c r="H79" s="117">
        <v>0</v>
      </c>
      <c r="I79" s="100" t="s">
        <v>464</v>
      </c>
    </row>
    <row r="80" spans="1:48" s="79" customFormat="1" ht="51">
      <c r="A80" s="113" t="s">
        <v>99</v>
      </c>
      <c r="B80" s="100" t="s">
        <v>182</v>
      </c>
      <c r="C80" s="100" t="s">
        <v>250</v>
      </c>
      <c r="D80" s="114"/>
      <c r="E80" s="114" t="s">
        <v>177</v>
      </c>
      <c r="F80" s="115">
        <f>'виконання ІС'!E39</f>
        <v>62.1</v>
      </c>
      <c r="G80" s="115">
        <f>'виконання ІС'!I39</f>
        <v>182</v>
      </c>
      <c r="H80" s="115">
        <f t="shared" si="2"/>
        <v>119.9</v>
      </c>
      <c r="I80" s="100" t="s">
        <v>180</v>
      </c>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row>
    <row r="81" spans="1:48">
      <c r="A81" s="116" t="s">
        <v>407</v>
      </c>
      <c r="B81" s="179" t="s">
        <v>183</v>
      </c>
      <c r="C81" s="100" t="s">
        <v>250</v>
      </c>
      <c r="D81" s="100"/>
      <c r="E81" s="114" t="s">
        <v>177</v>
      </c>
      <c r="F81" s="115">
        <f>'виконання ІС'!E40</f>
        <v>36.6</v>
      </c>
      <c r="G81" s="115">
        <f>'виконання ІС'!I40</f>
        <v>54.45</v>
      </c>
      <c r="H81" s="115">
        <f t="shared" si="2"/>
        <v>17.850000000000001</v>
      </c>
      <c r="I81" s="100" t="s">
        <v>180</v>
      </c>
    </row>
    <row r="82" spans="1:48" ht="63.75">
      <c r="A82" s="116"/>
      <c r="B82" s="180"/>
      <c r="C82" s="100" t="s">
        <v>251</v>
      </c>
      <c r="D82" s="100" t="s">
        <v>283</v>
      </c>
      <c r="E82" s="114" t="s">
        <v>415</v>
      </c>
      <c r="F82" s="100">
        <v>30</v>
      </c>
      <c r="G82" s="100">
        <v>19</v>
      </c>
      <c r="H82" s="117">
        <f t="shared" si="2"/>
        <v>-11</v>
      </c>
      <c r="I82" s="100" t="s">
        <v>465</v>
      </c>
    </row>
    <row r="83" spans="1:48" ht="25.5">
      <c r="A83" s="116"/>
      <c r="B83" s="180"/>
      <c r="C83" s="100" t="s">
        <v>382</v>
      </c>
      <c r="D83" s="100" t="s">
        <v>284</v>
      </c>
      <c r="E83" s="114" t="s">
        <v>177</v>
      </c>
      <c r="F83" s="100">
        <v>1.22</v>
      </c>
      <c r="G83" s="118">
        <f>G81/G82</f>
        <v>2.8657894736842109</v>
      </c>
      <c r="H83" s="117">
        <f t="shared" si="2"/>
        <v>1.6457894736842109</v>
      </c>
      <c r="I83" s="100" t="s">
        <v>180</v>
      </c>
    </row>
    <row r="84" spans="1:48" ht="38.25">
      <c r="A84" s="116"/>
      <c r="B84" s="181"/>
      <c r="C84" s="100" t="s">
        <v>252</v>
      </c>
      <c r="D84" s="100" t="s">
        <v>285</v>
      </c>
      <c r="E84" s="114" t="s">
        <v>164</v>
      </c>
      <c r="F84" s="100">
        <v>95.3</v>
      </c>
      <c r="G84" s="100">
        <v>100</v>
      </c>
      <c r="H84" s="117">
        <f t="shared" si="2"/>
        <v>4.7000000000000028</v>
      </c>
      <c r="I84" s="100" t="s">
        <v>466</v>
      </c>
    </row>
    <row r="85" spans="1:48" s="79" customFormat="1" ht="25.5" customHeight="1">
      <c r="A85" s="116" t="s">
        <v>408</v>
      </c>
      <c r="B85" s="179" t="s">
        <v>184</v>
      </c>
      <c r="C85" s="100" t="s">
        <v>250</v>
      </c>
      <c r="D85" s="100"/>
      <c r="E85" s="114" t="s">
        <v>177</v>
      </c>
      <c r="F85" s="115">
        <f>'виконання ІС'!E41</f>
        <v>25.5</v>
      </c>
      <c r="G85" s="115">
        <f>'виконання ІС'!I41</f>
        <v>127.55</v>
      </c>
      <c r="H85" s="115">
        <f t="shared" si="2"/>
        <v>102.05</v>
      </c>
      <c r="I85" s="100" t="s">
        <v>454</v>
      </c>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row>
    <row r="86" spans="1:48" ht="63.75">
      <c r="A86" s="116"/>
      <c r="B86" s="180"/>
      <c r="C86" s="100" t="s">
        <v>251</v>
      </c>
      <c r="D86" s="100" t="s">
        <v>286</v>
      </c>
      <c r="E86" s="114" t="s">
        <v>415</v>
      </c>
      <c r="F86" s="100">
        <v>20</v>
      </c>
      <c r="G86" s="100">
        <v>148</v>
      </c>
      <c r="H86" s="117">
        <f t="shared" si="2"/>
        <v>128</v>
      </c>
      <c r="I86" s="100" t="s">
        <v>467</v>
      </c>
    </row>
    <row r="87" spans="1:48" ht="25.5">
      <c r="A87" s="113"/>
      <c r="B87" s="180"/>
      <c r="C87" s="100" t="s">
        <v>382</v>
      </c>
      <c r="D87" s="100" t="s">
        <v>287</v>
      </c>
      <c r="E87" s="114" t="s">
        <v>177</v>
      </c>
      <c r="F87" s="134">
        <v>1.2749999999999999</v>
      </c>
      <c r="G87" s="117">
        <f>G85/G86</f>
        <v>0.86182432432432432</v>
      </c>
      <c r="H87" s="117">
        <f t="shared" si="2"/>
        <v>-0.41317567567567559</v>
      </c>
      <c r="I87" s="100" t="s">
        <v>438</v>
      </c>
    </row>
    <row r="88" spans="1:48" ht="51">
      <c r="A88" s="113"/>
      <c r="B88" s="181"/>
      <c r="C88" s="100" t="s">
        <v>252</v>
      </c>
      <c r="D88" s="100" t="s">
        <v>288</v>
      </c>
      <c r="E88" s="114" t="s">
        <v>164</v>
      </c>
      <c r="F88" s="100">
        <v>83.9</v>
      </c>
      <c r="G88" s="100">
        <v>100</v>
      </c>
      <c r="H88" s="117">
        <f t="shared" si="2"/>
        <v>16.099999999999994</v>
      </c>
      <c r="I88" s="100" t="s">
        <v>180</v>
      </c>
    </row>
    <row r="89" spans="1:48" ht="13.5">
      <c r="A89" s="131" t="s">
        <v>185</v>
      </c>
      <c r="B89" s="170" t="s">
        <v>186</v>
      </c>
      <c r="C89" s="170"/>
      <c r="D89" s="170"/>
      <c r="E89" s="170"/>
      <c r="F89" s="170"/>
      <c r="G89" s="170"/>
      <c r="H89" s="170"/>
      <c r="I89" s="100"/>
    </row>
    <row r="90" spans="1:48" s="79" customFormat="1" ht="76.5">
      <c r="A90" s="113" t="s">
        <v>187</v>
      </c>
      <c r="B90" s="100" t="s">
        <v>108</v>
      </c>
      <c r="C90" s="100" t="s">
        <v>250</v>
      </c>
      <c r="D90" s="100" t="s">
        <v>188</v>
      </c>
      <c r="E90" s="114" t="s">
        <v>177</v>
      </c>
      <c r="F90" s="115">
        <f>'виконання ІС'!F43</f>
        <v>0</v>
      </c>
      <c r="G90" s="115">
        <f>'виконання ІС'!J43</f>
        <v>427.24</v>
      </c>
      <c r="H90" s="115">
        <f t="shared" si="2"/>
        <v>427.24</v>
      </c>
      <c r="I90" s="100" t="s">
        <v>180</v>
      </c>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row>
    <row r="91" spans="1:48" ht="38.25" customHeight="1">
      <c r="A91" s="186" t="s">
        <v>300</v>
      </c>
      <c r="B91" s="179" t="s">
        <v>188</v>
      </c>
      <c r="C91" s="100" t="s">
        <v>250</v>
      </c>
      <c r="D91" s="100" t="s">
        <v>409</v>
      </c>
      <c r="E91" s="114" t="s">
        <v>177</v>
      </c>
      <c r="F91" s="117">
        <v>0</v>
      </c>
      <c r="G91" s="117">
        <v>0</v>
      </c>
      <c r="H91" s="117">
        <v>0</v>
      </c>
      <c r="I91" s="100"/>
    </row>
    <row r="92" spans="1:48" ht="89.25">
      <c r="A92" s="188"/>
      <c r="B92" s="180"/>
      <c r="C92" s="100" t="s">
        <v>251</v>
      </c>
      <c r="D92" s="100" t="s">
        <v>289</v>
      </c>
      <c r="E92" s="114" t="s">
        <v>415</v>
      </c>
      <c r="F92" s="100">
        <v>0</v>
      </c>
      <c r="G92" s="100">
        <v>1987</v>
      </c>
      <c r="H92" s="117">
        <f>G92-F92</f>
        <v>1987</v>
      </c>
      <c r="I92" s="100" t="s">
        <v>512</v>
      </c>
    </row>
    <row r="93" spans="1:48" s="79" customFormat="1" ht="25.5">
      <c r="A93" s="188"/>
      <c r="B93" s="180"/>
      <c r="C93" s="100" t="s">
        <v>250</v>
      </c>
      <c r="D93" s="100" t="s">
        <v>410</v>
      </c>
      <c r="E93" s="114" t="s">
        <v>177</v>
      </c>
      <c r="F93" s="115">
        <f>'виконання ІС'!G44</f>
        <v>712.59</v>
      </c>
      <c r="G93" s="115">
        <f>'виконання ІС'!K44</f>
        <v>0</v>
      </c>
      <c r="H93" s="115">
        <f t="shared" si="2"/>
        <v>-712.59</v>
      </c>
      <c r="I93" s="100" t="s">
        <v>469</v>
      </c>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row>
    <row r="94" spans="1:48" ht="51">
      <c r="A94" s="188"/>
      <c r="B94" s="180"/>
      <c r="C94" s="100" t="s">
        <v>251</v>
      </c>
      <c r="D94" s="100" t="s">
        <v>290</v>
      </c>
      <c r="E94" s="114" t="s">
        <v>415</v>
      </c>
      <c r="F94" s="121">
        <v>2310</v>
      </c>
      <c r="G94" s="121">
        <v>0</v>
      </c>
      <c r="H94" s="117">
        <f t="shared" si="2"/>
        <v>-2310</v>
      </c>
      <c r="I94" s="100" t="s">
        <v>468</v>
      </c>
    </row>
    <row r="95" spans="1:48" ht="51">
      <c r="A95" s="188"/>
      <c r="B95" s="180"/>
      <c r="C95" s="100" t="s">
        <v>251</v>
      </c>
      <c r="D95" s="100" t="s">
        <v>291</v>
      </c>
      <c r="E95" s="114" t="s">
        <v>415</v>
      </c>
      <c r="F95" s="121">
        <v>2100</v>
      </c>
      <c r="G95" s="121">
        <v>1085</v>
      </c>
      <c r="H95" s="117">
        <f t="shared" si="2"/>
        <v>-1015</v>
      </c>
      <c r="I95" s="100" t="s">
        <v>470</v>
      </c>
    </row>
    <row r="96" spans="1:48" ht="25.5">
      <c r="A96" s="188"/>
      <c r="B96" s="180"/>
      <c r="C96" s="100" t="s">
        <v>382</v>
      </c>
      <c r="D96" s="100" t="s">
        <v>292</v>
      </c>
      <c r="E96" s="114" t="s">
        <v>177</v>
      </c>
      <c r="F96" s="117">
        <v>0.33932847619047618</v>
      </c>
      <c r="G96" s="117">
        <f>(G93+G90)/G95</f>
        <v>0.39376958525345623</v>
      </c>
      <c r="H96" s="117">
        <f t="shared" si="2"/>
        <v>5.4441109062980053E-2</v>
      </c>
      <c r="I96" s="100" t="s">
        <v>454</v>
      </c>
    </row>
    <row r="97" spans="1:48" ht="38.25">
      <c r="A97" s="188"/>
      <c r="B97" s="180"/>
      <c r="C97" s="100" t="s">
        <v>252</v>
      </c>
      <c r="D97" s="100" t="s">
        <v>293</v>
      </c>
      <c r="E97" s="114" t="s">
        <v>164</v>
      </c>
      <c r="F97" s="121">
        <v>91</v>
      </c>
      <c r="G97" s="118">
        <f>1084/2074*100</f>
        <v>52.266152362584371</v>
      </c>
      <c r="H97" s="117">
        <f t="shared" si="2"/>
        <v>-38.733847637415629</v>
      </c>
      <c r="I97" s="100" t="s">
        <v>526</v>
      </c>
    </row>
    <row r="98" spans="1:48" ht="25.5">
      <c r="A98" s="188"/>
      <c r="B98" s="180"/>
      <c r="C98" s="100" t="s">
        <v>252</v>
      </c>
      <c r="D98" s="100" t="s">
        <v>294</v>
      </c>
      <c r="E98" s="114" t="s">
        <v>415</v>
      </c>
      <c r="F98" s="121">
        <v>22400</v>
      </c>
      <c r="G98" s="121">
        <v>14910</v>
      </c>
      <c r="H98" s="117">
        <f t="shared" si="2"/>
        <v>-7490</v>
      </c>
      <c r="I98" s="100" t="s">
        <v>471</v>
      </c>
    </row>
    <row r="99" spans="1:48" ht="51">
      <c r="A99" s="187"/>
      <c r="B99" s="181"/>
      <c r="C99" s="100" t="s">
        <v>252</v>
      </c>
      <c r="D99" s="100" t="s">
        <v>295</v>
      </c>
      <c r="E99" s="114" t="s">
        <v>164</v>
      </c>
      <c r="F99" s="118">
        <v>86.5</v>
      </c>
      <c r="G99" s="118">
        <f>G98/19837*100</f>
        <v>75.162574986137017</v>
      </c>
      <c r="H99" s="117">
        <f t="shared" ref="H99:H166" si="3">G99-F99</f>
        <v>-11.337425013862983</v>
      </c>
      <c r="I99" s="100" t="s">
        <v>472</v>
      </c>
    </row>
    <row r="100" spans="1:48" ht="51" customHeight="1">
      <c r="A100" s="186" t="s">
        <v>299</v>
      </c>
      <c r="B100" s="179" t="s">
        <v>189</v>
      </c>
      <c r="C100" s="100" t="s">
        <v>251</v>
      </c>
      <c r="D100" s="100" t="s">
        <v>296</v>
      </c>
      <c r="E100" s="114" t="s">
        <v>415</v>
      </c>
      <c r="F100" s="100">
        <v>0</v>
      </c>
      <c r="G100" s="100">
        <v>480</v>
      </c>
      <c r="H100" s="117">
        <f t="shared" si="3"/>
        <v>480</v>
      </c>
      <c r="I100" s="100" t="s">
        <v>180</v>
      </c>
    </row>
    <row r="101" spans="1:48" ht="89.25">
      <c r="A101" s="187"/>
      <c r="B101" s="181"/>
      <c r="C101" s="100" t="s">
        <v>252</v>
      </c>
      <c r="D101" s="100" t="s">
        <v>297</v>
      </c>
      <c r="E101" s="114" t="s">
        <v>164</v>
      </c>
      <c r="F101" s="100">
        <v>95</v>
      </c>
      <c r="G101" s="118">
        <f>689/1168*100</f>
        <v>58.989726027397261</v>
      </c>
      <c r="H101" s="117">
        <f t="shared" si="3"/>
        <v>-36.010273972602739</v>
      </c>
      <c r="I101" s="100" t="s">
        <v>473</v>
      </c>
    </row>
    <row r="102" spans="1:48" ht="63.75">
      <c r="A102" s="186" t="s">
        <v>301</v>
      </c>
      <c r="B102" s="179" t="s">
        <v>190</v>
      </c>
      <c r="C102" s="100" t="s">
        <v>251</v>
      </c>
      <c r="D102" s="100" t="s">
        <v>298</v>
      </c>
      <c r="E102" s="114" t="s">
        <v>415</v>
      </c>
      <c r="F102" s="100">
        <v>1617</v>
      </c>
      <c r="G102" s="100">
        <v>131</v>
      </c>
      <c r="H102" s="117">
        <f t="shared" si="3"/>
        <v>-1486</v>
      </c>
      <c r="I102" s="100" t="s">
        <v>474</v>
      </c>
    </row>
    <row r="103" spans="1:48" s="58" customFormat="1" ht="89.25">
      <c r="A103" s="187"/>
      <c r="B103" s="181"/>
      <c r="C103" s="100" t="s">
        <v>252</v>
      </c>
      <c r="D103" s="100" t="s">
        <v>302</v>
      </c>
      <c r="E103" s="114" t="s">
        <v>164</v>
      </c>
      <c r="F103" s="100">
        <v>70</v>
      </c>
      <c r="G103" s="100">
        <v>49</v>
      </c>
      <c r="H103" s="117">
        <f t="shared" si="3"/>
        <v>-21</v>
      </c>
      <c r="I103" s="100" t="s">
        <v>529</v>
      </c>
    </row>
    <row r="104" spans="1:48" s="79" customFormat="1" ht="89.25" customHeight="1">
      <c r="A104" s="186" t="s">
        <v>303</v>
      </c>
      <c r="B104" s="179" t="s">
        <v>191</v>
      </c>
      <c r="C104" s="100" t="s">
        <v>250</v>
      </c>
      <c r="D104" s="135"/>
      <c r="E104" s="114" t="s">
        <v>177</v>
      </c>
      <c r="F104" s="115">
        <f>'виконання ІС'!E47</f>
        <v>16613.099999999999</v>
      </c>
      <c r="G104" s="115">
        <f>'виконання ІС'!I47</f>
        <v>1770.3</v>
      </c>
      <c r="H104" s="115">
        <f t="shared" si="3"/>
        <v>-14842.8</v>
      </c>
      <c r="I104" s="100" t="s">
        <v>180</v>
      </c>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row>
    <row r="105" spans="1:48" ht="38.25">
      <c r="A105" s="188"/>
      <c r="B105" s="180"/>
      <c r="C105" s="100" t="s">
        <v>251</v>
      </c>
      <c r="D105" s="100" t="s">
        <v>305</v>
      </c>
      <c r="E105" s="114" t="s">
        <v>415</v>
      </c>
      <c r="F105" s="100">
        <v>900</v>
      </c>
      <c r="G105" s="100">
        <v>890</v>
      </c>
      <c r="H105" s="117">
        <f t="shared" si="3"/>
        <v>-10</v>
      </c>
      <c r="I105" s="100" t="s">
        <v>475</v>
      </c>
    </row>
    <row r="106" spans="1:48" ht="51">
      <c r="A106" s="188"/>
      <c r="B106" s="180"/>
      <c r="C106" s="100" t="s">
        <v>382</v>
      </c>
      <c r="D106" s="100" t="s">
        <v>306</v>
      </c>
      <c r="E106" s="114" t="s">
        <v>177</v>
      </c>
      <c r="F106" s="100">
        <v>20.51</v>
      </c>
      <c r="G106" s="118">
        <f>G104/G105</f>
        <v>1.9891011235955056</v>
      </c>
      <c r="H106" s="117">
        <f t="shared" si="3"/>
        <v>-18.520898876404495</v>
      </c>
      <c r="I106" s="100" t="s">
        <v>476</v>
      </c>
    </row>
    <row r="107" spans="1:48" ht="51">
      <c r="A107" s="187"/>
      <c r="B107" s="181"/>
      <c r="C107" s="100" t="s">
        <v>252</v>
      </c>
      <c r="D107" s="100" t="s">
        <v>307</v>
      </c>
      <c r="E107" s="114" t="s">
        <v>164</v>
      </c>
      <c r="F107" s="100">
        <v>90</v>
      </c>
      <c r="G107" s="118">
        <f>G105/1173*100</f>
        <v>75.873827791986358</v>
      </c>
      <c r="H107" s="117">
        <f t="shared" si="3"/>
        <v>-14.126172208013642</v>
      </c>
      <c r="I107" s="100" t="s">
        <v>477</v>
      </c>
    </row>
    <row r="108" spans="1:48" ht="76.5">
      <c r="A108" s="186" t="s">
        <v>304</v>
      </c>
      <c r="B108" s="179" t="s">
        <v>192</v>
      </c>
      <c r="C108" s="100" t="s">
        <v>251</v>
      </c>
      <c r="D108" s="100" t="s">
        <v>308</v>
      </c>
      <c r="E108" s="114" t="s">
        <v>415</v>
      </c>
      <c r="F108" s="129">
        <v>1455</v>
      </c>
      <c r="G108" s="129">
        <v>980</v>
      </c>
      <c r="H108" s="117">
        <f t="shared" si="3"/>
        <v>-475</v>
      </c>
      <c r="I108" s="100" t="s">
        <v>478</v>
      </c>
    </row>
    <row r="109" spans="1:48" ht="51">
      <c r="A109" s="187"/>
      <c r="B109" s="181"/>
      <c r="C109" s="100" t="s">
        <v>252</v>
      </c>
      <c r="D109" s="100" t="s">
        <v>309</v>
      </c>
      <c r="E109" s="114" t="s">
        <v>164</v>
      </c>
      <c r="F109" s="100">
        <v>70</v>
      </c>
      <c r="G109" s="121">
        <f>G108/1085*100</f>
        <v>90.322580645161281</v>
      </c>
      <c r="H109" s="117">
        <f t="shared" si="3"/>
        <v>20.322580645161281</v>
      </c>
      <c r="I109" s="100" t="s">
        <v>479</v>
      </c>
    </row>
    <row r="110" spans="1:48" ht="38.25">
      <c r="A110" s="186" t="s">
        <v>115</v>
      </c>
      <c r="B110" s="179" t="s">
        <v>116</v>
      </c>
      <c r="C110" s="100" t="s">
        <v>250</v>
      </c>
      <c r="D110" s="100"/>
      <c r="E110" s="114" t="s">
        <v>177</v>
      </c>
      <c r="F110" s="115">
        <f>'виконання ІС'!E49</f>
        <v>821.61</v>
      </c>
      <c r="G110" s="115">
        <f>'виконання ІС'!I49</f>
        <v>58.386000000000003</v>
      </c>
      <c r="H110" s="115">
        <f t="shared" si="3"/>
        <v>-763.22400000000005</v>
      </c>
      <c r="I110" s="100" t="s">
        <v>514</v>
      </c>
    </row>
    <row r="111" spans="1:48" ht="51">
      <c r="A111" s="188"/>
      <c r="B111" s="180"/>
      <c r="C111" s="100" t="s">
        <v>251</v>
      </c>
      <c r="D111" s="100" t="s">
        <v>310</v>
      </c>
      <c r="E111" s="114" t="s">
        <v>415</v>
      </c>
      <c r="F111" s="100">
        <v>420</v>
      </c>
      <c r="G111" s="100">
        <v>359</v>
      </c>
      <c r="H111" s="117">
        <f t="shared" si="3"/>
        <v>-61</v>
      </c>
      <c r="I111" s="100" t="s">
        <v>480</v>
      </c>
    </row>
    <row r="112" spans="1:48" ht="38.25">
      <c r="A112" s="188"/>
      <c r="B112" s="180"/>
      <c r="C112" s="100" t="s">
        <v>382</v>
      </c>
      <c r="D112" s="100" t="s">
        <v>311</v>
      </c>
      <c r="E112" s="114" t="s">
        <v>177</v>
      </c>
      <c r="F112" s="100">
        <v>1.96</v>
      </c>
      <c r="G112" s="136">
        <f>G110/G111</f>
        <v>0.16263509749303623</v>
      </c>
      <c r="H112" s="117">
        <f t="shared" si="3"/>
        <v>-1.7973649025069638</v>
      </c>
      <c r="I112" s="100" t="s">
        <v>513</v>
      </c>
    </row>
    <row r="113" spans="1:48" ht="63.75">
      <c r="A113" s="187"/>
      <c r="B113" s="181"/>
      <c r="C113" s="100" t="s">
        <v>252</v>
      </c>
      <c r="D113" s="100" t="s">
        <v>312</v>
      </c>
      <c r="E113" s="114" t="s">
        <v>164</v>
      </c>
      <c r="F113" s="100">
        <v>20</v>
      </c>
      <c r="G113" s="118">
        <f>G111/980*100</f>
        <v>36.632653061224488</v>
      </c>
      <c r="H113" s="117">
        <f t="shared" si="3"/>
        <v>16.632653061224488</v>
      </c>
      <c r="I113" s="100" t="s">
        <v>481</v>
      </c>
    </row>
    <row r="114" spans="1:48" s="79" customFormat="1" ht="76.5">
      <c r="A114" s="113" t="s">
        <v>117</v>
      </c>
      <c r="B114" s="100" t="s">
        <v>193</v>
      </c>
      <c r="C114" s="100" t="s">
        <v>250</v>
      </c>
      <c r="D114" s="114"/>
      <c r="E114" s="114" t="s">
        <v>177</v>
      </c>
      <c r="F114" s="115">
        <f>'виконання ІС'!E50</f>
        <v>2110.2999999999997</v>
      </c>
      <c r="G114" s="115">
        <f>'виконання ІС'!I50</f>
        <v>839.18000000000006</v>
      </c>
      <c r="H114" s="115">
        <f t="shared" si="3"/>
        <v>-1271.1199999999997</v>
      </c>
      <c r="I114" s="100" t="s">
        <v>180</v>
      </c>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row>
    <row r="115" spans="1:48" s="58" customFormat="1">
      <c r="A115" s="113" t="s">
        <v>300</v>
      </c>
      <c r="B115" s="100" t="s">
        <v>369</v>
      </c>
      <c r="C115" s="175" t="s">
        <v>251</v>
      </c>
      <c r="D115" s="175" t="s">
        <v>313</v>
      </c>
      <c r="E115" s="171" t="s">
        <v>415</v>
      </c>
      <c r="F115" s="175">
        <v>2100</v>
      </c>
      <c r="G115" s="175">
        <v>1085</v>
      </c>
      <c r="H115" s="176">
        <f t="shared" si="3"/>
        <v>-1015</v>
      </c>
      <c r="I115" s="177" t="s">
        <v>483</v>
      </c>
    </row>
    <row r="116" spans="1:48" s="58" customFormat="1" ht="37.5" customHeight="1">
      <c r="A116" s="113" t="s">
        <v>299</v>
      </c>
      <c r="B116" s="100" t="s">
        <v>370</v>
      </c>
      <c r="C116" s="175"/>
      <c r="D116" s="175"/>
      <c r="E116" s="171"/>
      <c r="F116" s="175"/>
      <c r="G116" s="175"/>
      <c r="H116" s="176"/>
      <c r="I116" s="178"/>
    </row>
    <row r="117" spans="1:48" s="58" customFormat="1" ht="38.25">
      <c r="A117" s="113" t="s">
        <v>316</v>
      </c>
      <c r="B117" s="100" t="s">
        <v>317</v>
      </c>
      <c r="C117" s="100" t="s">
        <v>382</v>
      </c>
      <c r="D117" s="100" t="s">
        <v>314</v>
      </c>
      <c r="E117" s="114" t="s">
        <v>177</v>
      </c>
      <c r="F117" s="100">
        <v>1</v>
      </c>
      <c r="G117" s="118">
        <f>G114/G115</f>
        <v>0.77343778801843321</v>
      </c>
      <c r="H117" s="117">
        <f t="shared" si="3"/>
        <v>-0.22656221198156679</v>
      </c>
      <c r="I117" s="100" t="s">
        <v>180</v>
      </c>
    </row>
    <row r="118" spans="1:48" s="58" customFormat="1" ht="51">
      <c r="A118" s="113" t="s">
        <v>371</v>
      </c>
      <c r="B118" s="100" t="s">
        <v>372</v>
      </c>
      <c r="C118" s="100" t="s">
        <v>252</v>
      </c>
      <c r="D118" s="100" t="s">
        <v>315</v>
      </c>
      <c r="E118" s="114" t="s">
        <v>164</v>
      </c>
      <c r="F118" s="100">
        <v>100</v>
      </c>
      <c r="G118" s="100">
        <f>G115/1085*100</f>
        <v>100</v>
      </c>
      <c r="H118" s="117">
        <f t="shared" si="3"/>
        <v>0</v>
      </c>
      <c r="I118" s="100" t="s">
        <v>482</v>
      </c>
    </row>
    <row r="119" spans="1:48" s="58" customFormat="1" ht="51">
      <c r="A119" s="113" t="s">
        <v>373</v>
      </c>
      <c r="B119" s="100" t="s">
        <v>374</v>
      </c>
      <c r="C119" s="100" t="s">
        <v>252</v>
      </c>
      <c r="D119" s="100" t="s">
        <v>315</v>
      </c>
      <c r="E119" s="114" t="s">
        <v>164</v>
      </c>
      <c r="F119" s="100">
        <v>100</v>
      </c>
      <c r="G119" s="100">
        <f>G115/1085*100</f>
        <v>100</v>
      </c>
      <c r="H119" s="117">
        <f t="shared" si="3"/>
        <v>0</v>
      </c>
      <c r="I119" s="100" t="s">
        <v>482</v>
      </c>
    </row>
    <row r="120" spans="1:48" s="79" customFormat="1" ht="38.25">
      <c r="A120" s="113" t="s">
        <v>124</v>
      </c>
      <c r="B120" s="100" t="s">
        <v>194</v>
      </c>
      <c r="C120" s="100" t="s">
        <v>250</v>
      </c>
      <c r="D120" s="114"/>
      <c r="E120" s="114" t="s">
        <v>177</v>
      </c>
      <c r="F120" s="115">
        <f>'виконання ІС'!E56</f>
        <v>5127.3580000000002</v>
      </c>
      <c r="G120" s="115">
        <v>1868.49</v>
      </c>
      <c r="H120" s="115">
        <f t="shared" si="3"/>
        <v>-3258.8680000000004</v>
      </c>
      <c r="I120" s="100" t="s">
        <v>484</v>
      </c>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row>
    <row r="121" spans="1:48" ht="25.5">
      <c r="A121" s="113" t="s">
        <v>340</v>
      </c>
      <c r="B121" s="100" t="s">
        <v>195</v>
      </c>
      <c r="C121" s="100" t="s">
        <v>251</v>
      </c>
      <c r="D121" s="100" t="s">
        <v>345</v>
      </c>
      <c r="E121" s="114" t="s">
        <v>415</v>
      </c>
      <c r="F121" s="100">
        <v>1250</v>
      </c>
      <c r="G121" s="100">
        <v>872</v>
      </c>
      <c r="H121" s="117">
        <f t="shared" si="3"/>
        <v>-378</v>
      </c>
      <c r="I121" s="100" t="s">
        <v>485</v>
      </c>
    </row>
    <row r="122" spans="1:48" ht="38.25">
      <c r="A122" s="113" t="s">
        <v>341</v>
      </c>
      <c r="B122" s="100" t="s">
        <v>196</v>
      </c>
      <c r="C122" s="100" t="s">
        <v>251</v>
      </c>
      <c r="D122" s="100" t="s">
        <v>346</v>
      </c>
      <c r="E122" s="114" t="s">
        <v>415</v>
      </c>
      <c r="F122" s="100">
        <v>600</v>
      </c>
      <c r="G122" s="100">
        <v>1942</v>
      </c>
      <c r="H122" s="117">
        <f t="shared" si="3"/>
        <v>1342</v>
      </c>
      <c r="I122" s="100" t="s">
        <v>485</v>
      </c>
    </row>
    <row r="123" spans="1:48" ht="25.5">
      <c r="A123" s="113" t="s">
        <v>342</v>
      </c>
      <c r="B123" s="100" t="s">
        <v>197</v>
      </c>
      <c r="C123" s="100" t="s">
        <v>251</v>
      </c>
      <c r="D123" s="100" t="s">
        <v>347</v>
      </c>
      <c r="E123" s="114" t="s">
        <v>415</v>
      </c>
      <c r="F123" s="100">
        <v>35</v>
      </c>
      <c r="G123" s="100">
        <v>194</v>
      </c>
      <c r="H123" s="117">
        <f t="shared" si="3"/>
        <v>159</v>
      </c>
      <c r="I123" s="100" t="s">
        <v>485</v>
      </c>
    </row>
    <row r="124" spans="1:48" ht="38.25">
      <c r="A124" s="113" t="s">
        <v>343</v>
      </c>
      <c r="B124" s="100" t="s">
        <v>198</v>
      </c>
      <c r="C124" s="100" t="s">
        <v>251</v>
      </c>
      <c r="D124" s="100" t="s">
        <v>348</v>
      </c>
      <c r="E124" s="114" t="s">
        <v>415</v>
      </c>
      <c r="F124" s="100">
        <v>35</v>
      </c>
      <c r="G124" s="100">
        <v>15</v>
      </c>
      <c r="H124" s="117">
        <f t="shared" si="3"/>
        <v>-20</v>
      </c>
      <c r="I124" s="100" t="s">
        <v>485</v>
      </c>
    </row>
    <row r="125" spans="1:48" ht="38.25">
      <c r="A125" s="186" t="s">
        <v>344</v>
      </c>
      <c r="B125" s="179" t="s">
        <v>199</v>
      </c>
      <c r="C125" s="100" t="s">
        <v>251</v>
      </c>
      <c r="D125" s="100" t="s">
        <v>349</v>
      </c>
      <c r="E125" s="114" t="s">
        <v>415</v>
      </c>
      <c r="F125" s="100">
        <v>290</v>
      </c>
      <c r="G125" s="100">
        <v>1309</v>
      </c>
      <c r="H125" s="117">
        <f t="shared" si="3"/>
        <v>1019</v>
      </c>
      <c r="I125" s="100" t="s">
        <v>485</v>
      </c>
    </row>
    <row r="126" spans="1:48" ht="38.25">
      <c r="A126" s="188"/>
      <c r="B126" s="180"/>
      <c r="C126" s="100" t="s">
        <v>382</v>
      </c>
      <c r="D126" s="100" t="s">
        <v>318</v>
      </c>
      <c r="E126" s="114" t="s">
        <v>177</v>
      </c>
      <c r="F126" s="117">
        <v>0.1</v>
      </c>
      <c r="G126" s="118">
        <f>G120/(G121+G122+G123+G124+G125)</f>
        <v>0.43132271468144046</v>
      </c>
      <c r="H126" s="117">
        <f t="shared" si="3"/>
        <v>0.33132271468144048</v>
      </c>
      <c r="I126" s="100" t="s">
        <v>485</v>
      </c>
    </row>
    <row r="127" spans="1:48" ht="63.75">
      <c r="A127" s="187"/>
      <c r="B127" s="181"/>
      <c r="C127" s="100" t="s">
        <v>252</v>
      </c>
      <c r="D127" s="100" t="s">
        <v>319</v>
      </c>
      <c r="E127" s="114" t="s">
        <v>164</v>
      </c>
      <c r="F127" s="100">
        <v>70</v>
      </c>
      <c r="G127" s="100">
        <v>100</v>
      </c>
      <c r="H127" s="117">
        <f t="shared" si="3"/>
        <v>30</v>
      </c>
      <c r="I127" s="100" t="s">
        <v>180</v>
      </c>
    </row>
    <row r="128" spans="1:48" s="79" customFormat="1" ht="56.25" customHeight="1">
      <c r="A128" s="186" t="s">
        <v>131</v>
      </c>
      <c r="B128" s="179" t="s">
        <v>132</v>
      </c>
      <c r="C128" s="100" t="s">
        <v>250</v>
      </c>
      <c r="D128" s="114"/>
      <c r="E128" s="114" t="s">
        <v>177</v>
      </c>
      <c r="F128" s="115">
        <f>'виконання ІС'!E62</f>
        <v>250</v>
      </c>
      <c r="G128" s="115">
        <f>'виконання ІС'!I62</f>
        <v>0</v>
      </c>
      <c r="H128" s="115">
        <f t="shared" si="3"/>
        <v>-250</v>
      </c>
      <c r="I128" s="100" t="s">
        <v>486</v>
      </c>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row>
    <row r="129" spans="1:48" ht="76.5">
      <c r="A129" s="188"/>
      <c r="B129" s="180"/>
      <c r="C129" s="100" t="s">
        <v>251</v>
      </c>
      <c r="D129" s="100" t="s">
        <v>320</v>
      </c>
      <c r="E129" s="114" t="s">
        <v>415</v>
      </c>
      <c r="F129" s="113">
        <v>40</v>
      </c>
      <c r="G129" s="113">
        <v>88</v>
      </c>
      <c r="H129" s="117">
        <f t="shared" si="3"/>
        <v>48</v>
      </c>
      <c r="I129" s="100" t="s">
        <v>487</v>
      </c>
    </row>
    <row r="130" spans="1:48" ht="26.25" customHeight="1">
      <c r="A130" s="188"/>
      <c r="B130" s="180"/>
      <c r="C130" s="100" t="s">
        <v>382</v>
      </c>
      <c r="D130" s="100" t="s">
        <v>321</v>
      </c>
      <c r="E130" s="114" t="s">
        <v>177</v>
      </c>
      <c r="F130" s="100">
        <v>6.25</v>
      </c>
      <c r="G130" s="100">
        <v>0</v>
      </c>
      <c r="H130" s="117">
        <f t="shared" si="3"/>
        <v>-6.25</v>
      </c>
      <c r="I130" s="100" t="s">
        <v>180</v>
      </c>
    </row>
    <row r="131" spans="1:48" ht="89.25">
      <c r="A131" s="187"/>
      <c r="B131" s="181"/>
      <c r="C131" s="100" t="s">
        <v>252</v>
      </c>
      <c r="D131" s="100" t="s">
        <v>322</v>
      </c>
      <c r="E131" s="114" t="s">
        <v>164</v>
      </c>
      <c r="F131" s="100">
        <v>100</v>
      </c>
      <c r="G131" s="100">
        <v>100</v>
      </c>
      <c r="H131" s="117">
        <f t="shared" si="3"/>
        <v>0</v>
      </c>
      <c r="I131" s="100" t="s">
        <v>488</v>
      </c>
    </row>
    <row r="132" spans="1:48" ht="13.5">
      <c r="A132" s="131" t="s">
        <v>133</v>
      </c>
      <c r="B132" s="170" t="s">
        <v>134</v>
      </c>
      <c r="C132" s="170"/>
      <c r="D132" s="170"/>
      <c r="E132" s="170"/>
      <c r="F132" s="170"/>
      <c r="G132" s="170"/>
      <c r="H132" s="170"/>
      <c r="I132" s="100"/>
    </row>
    <row r="133" spans="1:48" s="79" customFormat="1" ht="25.5">
      <c r="A133" s="113" t="s">
        <v>200</v>
      </c>
      <c r="B133" s="100" t="s">
        <v>201</v>
      </c>
      <c r="C133" s="100" t="s">
        <v>250</v>
      </c>
      <c r="D133" s="114"/>
      <c r="E133" s="114" t="s">
        <v>177</v>
      </c>
      <c r="F133" s="115">
        <f>'виконання ІС'!E64</f>
        <v>150144</v>
      </c>
      <c r="G133" s="115">
        <f>'виконання ІС'!I64</f>
        <v>22669.27</v>
      </c>
      <c r="H133" s="115">
        <f t="shared" si="3"/>
        <v>-127474.73</v>
      </c>
      <c r="I133" s="100" t="s">
        <v>180</v>
      </c>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row>
    <row r="134" spans="1:48" ht="23.25" customHeight="1">
      <c r="A134" s="186" t="s">
        <v>375</v>
      </c>
      <c r="B134" s="179" t="s">
        <v>202</v>
      </c>
      <c r="C134" s="100" t="s">
        <v>251</v>
      </c>
      <c r="D134" s="100" t="s">
        <v>411</v>
      </c>
      <c r="E134" s="114" t="s">
        <v>415</v>
      </c>
      <c r="F134" s="113">
        <v>20204</v>
      </c>
      <c r="G134" s="100">
        <v>12331</v>
      </c>
      <c r="H134" s="113">
        <f t="shared" si="3"/>
        <v>-7873</v>
      </c>
      <c r="I134" s="100" t="s">
        <v>180</v>
      </c>
    </row>
    <row r="135" spans="1:48" ht="25.5">
      <c r="A135" s="188"/>
      <c r="B135" s="180"/>
      <c r="C135" s="100" t="s">
        <v>251</v>
      </c>
      <c r="D135" s="100" t="s">
        <v>323</v>
      </c>
      <c r="E135" s="114" t="s">
        <v>415</v>
      </c>
      <c r="F135" s="100">
        <v>2000</v>
      </c>
      <c r="G135" s="100">
        <v>1154</v>
      </c>
      <c r="H135" s="113">
        <f t="shared" si="3"/>
        <v>-846</v>
      </c>
      <c r="I135" s="100" t="s">
        <v>489</v>
      </c>
    </row>
    <row r="136" spans="1:48" ht="38.25">
      <c r="A136" s="188"/>
      <c r="B136" s="180"/>
      <c r="C136" s="100" t="s">
        <v>382</v>
      </c>
      <c r="D136" s="100" t="s">
        <v>324</v>
      </c>
      <c r="E136" s="114" t="s">
        <v>177</v>
      </c>
      <c r="F136" s="117">
        <v>7.4313997228271633</v>
      </c>
      <c r="G136" s="118">
        <f>G133/G134</f>
        <v>1.8383967237044847</v>
      </c>
      <c r="H136" s="117">
        <f t="shared" si="3"/>
        <v>-5.5930029991226782</v>
      </c>
      <c r="I136" s="100" t="s">
        <v>524</v>
      </c>
    </row>
    <row r="137" spans="1:48" ht="51">
      <c r="A137" s="187"/>
      <c r="B137" s="181"/>
      <c r="C137" s="100" t="s">
        <v>252</v>
      </c>
      <c r="D137" s="100" t="s">
        <v>325</v>
      </c>
      <c r="E137" s="114" t="s">
        <v>164</v>
      </c>
      <c r="F137" s="121">
        <v>90.2</v>
      </c>
      <c r="G137" s="118">
        <f>G134/14910*100</f>
        <v>82.702883970489609</v>
      </c>
      <c r="H137" s="117">
        <f t="shared" si="3"/>
        <v>-7.4971160295103942</v>
      </c>
      <c r="I137" s="100" t="s">
        <v>490</v>
      </c>
    </row>
    <row r="138" spans="1:48" ht="63.75">
      <c r="A138" s="186" t="s">
        <v>376</v>
      </c>
      <c r="B138" s="179" t="s">
        <v>203</v>
      </c>
      <c r="C138" s="100" t="s">
        <v>251</v>
      </c>
      <c r="D138" s="100" t="s">
        <v>377</v>
      </c>
      <c r="E138" s="114" t="s">
        <v>415</v>
      </c>
      <c r="F138" s="129">
        <v>1800</v>
      </c>
      <c r="G138" s="129">
        <v>160</v>
      </c>
      <c r="H138" s="117">
        <f t="shared" si="3"/>
        <v>-1640</v>
      </c>
      <c r="I138" s="100" t="s">
        <v>491</v>
      </c>
    </row>
    <row r="139" spans="1:48" ht="76.5">
      <c r="A139" s="187"/>
      <c r="B139" s="181"/>
      <c r="C139" s="100" t="s">
        <v>252</v>
      </c>
      <c r="D139" s="100" t="s">
        <v>326</v>
      </c>
      <c r="E139" s="114" t="s">
        <v>164</v>
      </c>
      <c r="F139" s="121">
        <v>75</v>
      </c>
      <c r="G139" s="117">
        <v>100</v>
      </c>
      <c r="H139" s="117">
        <f t="shared" si="3"/>
        <v>25</v>
      </c>
      <c r="I139" s="100" t="s">
        <v>485</v>
      </c>
    </row>
    <row r="140" spans="1:48" ht="38.25">
      <c r="A140" s="186" t="s">
        <v>379</v>
      </c>
      <c r="B140" s="179" t="s">
        <v>204</v>
      </c>
      <c r="C140" s="100" t="s">
        <v>251</v>
      </c>
      <c r="D140" s="100" t="s">
        <v>327</v>
      </c>
      <c r="E140" s="114" t="s">
        <v>415</v>
      </c>
      <c r="F140" s="129">
        <v>16110</v>
      </c>
      <c r="G140" s="129">
        <v>3405</v>
      </c>
      <c r="H140" s="117">
        <f t="shared" si="3"/>
        <v>-12705</v>
      </c>
      <c r="I140" s="100" t="s">
        <v>534</v>
      </c>
    </row>
    <row r="141" spans="1:48" ht="51">
      <c r="A141" s="187"/>
      <c r="B141" s="181"/>
      <c r="C141" s="100" t="s">
        <v>252</v>
      </c>
      <c r="D141" s="100" t="s">
        <v>328</v>
      </c>
      <c r="E141" s="114" t="s">
        <v>164</v>
      </c>
      <c r="F141" s="129">
        <v>72</v>
      </c>
      <c r="G141" s="124">
        <f>G140/12331*100</f>
        <v>27.613332252047684</v>
      </c>
      <c r="H141" s="117">
        <f t="shared" si="3"/>
        <v>-44.386667747952316</v>
      </c>
      <c r="I141" s="100" t="s">
        <v>535</v>
      </c>
    </row>
    <row r="142" spans="1:48" s="79" customFormat="1" ht="25.5">
      <c r="A142" s="113" t="s">
        <v>205</v>
      </c>
      <c r="B142" s="100" t="s">
        <v>141</v>
      </c>
      <c r="C142" s="100" t="s">
        <v>250</v>
      </c>
      <c r="D142" s="100"/>
      <c r="E142" s="114" t="s">
        <v>177</v>
      </c>
      <c r="F142" s="124">
        <f>F147+F143</f>
        <v>0</v>
      </c>
      <c r="G142" s="124">
        <f>G147+G143</f>
        <v>0</v>
      </c>
      <c r="H142" s="117">
        <f t="shared" si="3"/>
        <v>0</v>
      </c>
      <c r="I142" s="100" t="s">
        <v>492</v>
      </c>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row>
    <row r="143" spans="1:48" s="58" customFormat="1" ht="25.5">
      <c r="A143" s="186" t="s">
        <v>375</v>
      </c>
      <c r="B143" s="179" t="s">
        <v>206</v>
      </c>
      <c r="C143" s="100" t="s">
        <v>250</v>
      </c>
      <c r="D143" s="100"/>
      <c r="E143" s="114" t="s">
        <v>177</v>
      </c>
      <c r="F143" s="124">
        <v>0</v>
      </c>
      <c r="G143" s="129">
        <v>0</v>
      </c>
      <c r="H143" s="117">
        <f>G143-F143</f>
        <v>0</v>
      </c>
      <c r="I143" s="100" t="s">
        <v>492</v>
      </c>
    </row>
    <row r="144" spans="1:48" ht="25.5">
      <c r="A144" s="188"/>
      <c r="B144" s="180"/>
      <c r="C144" s="100" t="s">
        <v>251</v>
      </c>
      <c r="D144" s="100" t="s">
        <v>329</v>
      </c>
      <c r="E144" s="114" t="s">
        <v>415</v>
      </c>
      <c r="F144" s="129">
        <v>0</v>
      </c>
      <c r="G144" s="129">
        <v>0</v>
      </c>
      <c r="H144" s="117">
        <f t="shared" si="3"/>
        <v>0</v>
      </c>
      <c r="I144" s="100" t="s">
        <v>492</v>
      </c>
    </row>
    <row r="145" spans="1:48" ht="25.5">
      <c r="A145" s="188"/>
      <c r="B145" s="180"/>
      <c r="C145" s="100" t="s">
        <v>382</v>
      </c>
      <c r="D145" s="100" t="s">
        <v>330</v>
      </c>
      <c r="E145" s="114" t="s">
        <v>177</v>
      </c>
      <c r="F145" s="124">
        <v>0</v>
      </c>
      <c r="G145" s="129">
        <v>0</v>
      </c>
      <c r="H145" s="117">
        <f t="shared" si="3"/>
        <v>0</v>
      </c>
      <c r="I145" s="100" t="s">
        <v>492</v>
      </c>
    </row>
    <row r="146" spans="1:48" ht="38.25">
      <c r="A146" s="187"/>
      <c r="B146" s="181"/>
      <c r="C146" s="100" t="s">
        <v>252</v>
      </c>
      <c r="D146" s="100" t="s">
        <v>331</v>
      </c>
      <c r="E146" s="114" t="s">
        <v>164</v>
      </c>
      <c r="F146" s="129">
        <v>0</v>
      </c>
      <c r="G146" s="129">
        <v>0</v>
      </c>
      <c r="H146" s="117">
        <f t="shared" si="3"/>
        <v>0</v>
      </c>
      <c r="I146" s="100" t="s">
        <v>492</v>
      </c>
    </row>
    <row r="147" spans="1:48" ht="38.25">
      <c r="A147" s="186" t="s">
        <v>378</v>
      </c>
      <c r="B147" s="179" t="s">
        <v>207</v>
      </c>
      <c r="C147" s="100" t="s">
        <v>250</v>
      </c>
      <c r="D147" s="100" t="s">
        <v>207</v>
      </c>
      <c r="E147" s="114" t="s">
        <v>177</v>
      </c>
      <c r="F147" s="133">
        <v>0</v>
      </c>
      <c r="G147" s="133">
        <v>0</v>
      </c>
      <c r="H147" s="119">
        <f t="shared" si="3"/>
        <v>0</v>
      </c>
      <c r="I147" s="100" t="s">
        <v>492</v>
      </c>
    </row>
    <row r="148" spans="1:48" ht="25.5">
      <c r="A148" s="188"/>
      <c r="B148" s="180"/>
      <c r="C148" s="100" t="s">
        <v>251</v>
      </c>
      <c r="D148" s="100" t="s">
        <v>329</v>
      </c>
      <c r="E148" s="114" t="s">
        <v>415</v>
      </c>
      <c r="F148" s="129">
        <v>0</v>
      </c>
      <c r="G148" s="129">
        <v>0</v>
      </c>
      <c r="H148" s="117">
        <f t="shared" si="3"/>
        <v>0</v>
      </c>
      <c r="I148" s="100" t="s">
        <v>492</v>
      </c>
    </row>
    <row r="149" spans="1:48" ht="38.25">
      <c r="A149" s="188"/>
      <c r="B149" s="180"/>
      <c r="C149" s="100" t="s">
        <v>382</v>
      </c>
      <c r="D149" s="100" t="s">
        <v>332</v>
      </c>
      <c r="E149" s="114" t="s">
        <v>177</v>
      </c>
      <c r="F149" s="124">
        <v>0</v>
      </c>
      <c r="G149" s="124">
        <v>0</v>
      </c>
      <c r="H149" s="117">
        <f t="shared" si="3"/>
        <v>0</v>
      </c>
      <c r="I149" s="100" t="s">
        <v>492</v>
      </c>
    </row>
    <row r="150" spans="1:48" ht="38.25">
      <c r="A150" s="187"/>
      <c r="B150" s="181"/>
      <c r="C150" s="100" t="s">
        <v>252</v>
      </c>
      <c r="D150" s="100" t="s">
        <v>333</v>
      </c>
      <c r="E150" s="114" t="s">
        <v>164</v>
      </c>
      <c r="F150" s="129">
        <v>100</v>
      </c>
      <c r="G150" s="129">
        <v>0</v>
      </c>
      <c r="H150" s="117">
        <f t="shared" si="3"/>
        <v>-100</v>
      </c>
      <c r="I150" s="100" t="s">
        <v>180</v>
      </c>
    </row>
    <row r="151" spans="1:48" s="79" customFormat="1" ht="52.5" customHeight="1">
      <c r="A151" s="186" t="s">
        <v>144</v>
      </c>
      <c r="B151" s="179" t="s">
        <v>208</v>
      </c>
      <c r="C151" s="100" t="s">
        <v>250</v>
      </c>
      <c r="D151" s="114"/>
      <c r="E151" s="114" t="s">
        <v>177</v>
      </c>
      <c r="F151" s="115">
        <f>'виконання ІС'!E71</f>
        <v>470</v>
      </c>
      <c r="G151" s="115">
        <f>'виконання ІС'!I71</f>
        <v>0</v>
      </c>
      <c r="H151" s="115">
        <f t="shared" si="3"/>
        <v>-470</v>
      </c>
      <c r="I151" s="100" t="s">
        <v>493</v>
      </c>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row>
    <row r="152" spans="1:48" ht="51">
      <c r="A152" s="188"/>
      <c r="B152" s="180"/>
      <c r="C152" s="100" t="s">
        <v>251</v>
      </c>
      <c r="D152" s="100" t="s">
        <v>334</v>
      </c>
      <c r="E152" s="114" t="s">
        <v>417</v>
      </c>
      <c r="F152" s="100">
        <v>15</v>
      </c>
      <c r="G152" s="100">
        <v>13</v>
      </c>
      <c r="H152" s="117">
        <f t="shared" si="3"/>
        <v>-2</v>
      </c>
      <c r="I152" s="100" t="s">
        <v>500</v>
      </c>
    </row>
    <row r="153" spans="1:48" ht="38.25">
      <c r="A153" s="188"/>
      <c r="B153" s="180"/>
      <c r="C153" s="100" t="s">
        <v>382</v>
      </c>
      <c r="D153" s="100" t="s">
        <v>335</v>
      </c>
      <c r="E153" s="114" t="s">
        <v>177</v>
      </c>
      <c r="F153" s="117">
        <v>0.10416666666666667</v>
      </c>
      <c r="G153" s="100">
        <f>G151/G152</f>
        <v>0</v>
      </c>
      <c r="H153" s="117">
        <f t="shared" si="3"/>
        <v>-0.10416666666666667</v>
      </c>
      <c r="I153" s="100" t="s">
        <v>180</v>
      </c>
    </row>
    <row r="154" spans="1:48" ht="51">
      <c r="A154" s="187"/>
      <c r="B154" s="181"/>
      <c r="C154" s="100" t="s">
        <v>252</v>
      </c>
      <c r="D154" s="100" t="s">
        <v>336</v>
      </c>
      <c r="E154" s="114" t="s">
        <v>164</v>
      </c>
      <c r="F154" s="121">
        <v>23.262720253415164</v>
      </c>
      <c r="G154" s="118">
        <f>1468/12331*100</f>
        <v>11.904954991484876</v>
      </c>
      <c r="H154" s="117">
        <f t="shared" si="3"/>
        <v>-11.357765261930288</v>
      </c>
      <c r="I154" s="100" t="s">
        <v>527</v>
      </c>
    </row>
    <row r="155" spans="1:48" s="79" customFormat="1" ht="40.5" customHeight="1">
      <c r="A155" s="186" t="s">
        <v>146</v>
      </c>
      <c r="B155" s="179" t="s">
        <v>209</v>
      </c>
      <c r="C155" s="100" t="s">
        <v>250</v>
      </c>
      <c r="D155" s="114"/>
      <c r="E155" s="114" t="s">
        <v>177</v>
      </c>
      <c r="F155" s="115">
        <f>'виконання ІС'!E72</f>
        <v>9591</v>
      </c>
      <c r="G155" s="115">
        <f>'виконання ІС'!I72</f>
        <v>10212.460000000001</v>
      </c>
      <c r="H155" s="115">
        <f t="shared" si="3"/>
        <v>621.46000000000095</v>
      </c>
      <c r="I155" s="100" t="s">
        <v>495</v>
      </c>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row>
    <row r="156" spans="1:48" ht="25.5">
      <c r="A156" s="188"/>
      <c r="B156" s="180"/>
      <c r="C156" s="100" t="s">
        <v>251</v>
      </c>
      <c r="D156" s="100" t="s">
        <v>337</v>
      </c>
      <c r="E156" s="114" t="s">
        <v>415</v>
      </c>
      <c r="F156" s="129">
        <v>13400</v>
      </c>
      <c r="G156" s="129">
        <v>11714</v>
      </c>
      <c r="H156" s="117">
        <f t="shared" si="3"/>
        <v>-1686</v>
      </c>
      <c r="I156" s="100" t="s">
        <v>494</v>
      </c>
    </row>
    <row r="157" spans="1:48" ht="63.75">
      <c r="A157" s="188"/>
      <c r="B157" s="180"/>
      <c r="C157" s="100" t="s">
        <v>382</v>
      </c>
      <c r="D157" s="100" t="s">
        <v>338</v>
      </c>
      <c r="E157" s="114" t="s">
        <v>177</v>
      </c>
      <c r="F157" s="124">
        <v>0.72</v>
      </c>
      <c r="G157" s="124">
        <f>G155/G156</f>
        <v>0.87181662967389462</v>
      </c>
      <c r="H157" s="117">
        <f t="shared" si="3"/>
        <v>0.15181662967389464</v>
      </c>
      <c r="I157" s="100" t="s">
        <v>496</v>
      </c>
    </row>
    <row r="158" spans="1:48" ht="63.75">
      <c r="A158" s="187"/>
      <c r="B158" s="181"/>
      <c r="C158" s="100" t="s">
        <v>252</v>
      </c>
      <c r="D158" s="100" t="s">
        <v>339</v>
      </c>
      <c r="E158" s="114" t="s">
        <v>164</v>
      </c>
      <c r="F158" s="130">
        <v>60</v>
      </c>
      <c r="G158" s="130">
        <f>G156/14910*100</f>
        <v>78.564721663313208</v>
      </c>
      <c r="H158" s="117">
        <f t="shared" si="3"/>
        <v>18.564721663313208</v>
      </c>
      <c r="I158" s="100" t="s">
        <v>485</v>
      </c>
    </row>
    <row r="159" spans="1:48" ht="13.5">
      <c r="A159" s="131" t="s">
        <v>149</v>
      </c>
      <c r="B159" s="170" t="s">
        <v>210</v>
      </c>
      <c r="C159" s="170"/>
      <c r="D159" s="170"/>
      <c r="E159" s="170"/>
      <c r="F159" s="170"/>
      <c r="G159" s="170"/>
      <c r="H159" s="170"/>
      <c r="I159" s="100" t="s">
        <v>180</v>
      </c>
    </row>
    <row r="160" spans="1:48" s="79" customFormat="1" ht="38.25">
      <c r="A160" s="113" t="s">
        <v>151</v>
      </c>
      <c r="B160" s="100" t="s">
        <v>211</v>
      </c>
      <c r="C160" s="100" t="s">
        <v>250</v>
      </c>
      <c r="D160" s="114"/>
      <c r="E160" s="114" t="s">
        <v>177</v>
      </c>
      <c r="F160" s="115">
        <f>'виконання ІС'!E74</f>
        <v>30291.95</v>
      </c>
      <c r="G160" s="115">
        <f>'виконання ІС'!I74</f>
        <v>15120.840000000002</v>
      </c>
      <c r="H160" s="115">
        <f t="shared" si="3"/>
        <v>-15171.109999999999</v>
      </c>
      <c r="I160" s="100" t="s">
        <v>180</v>
      </c>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row>
    <row r="161" spans="1:48" ht="63.75">
      <c r="A161" s="186" t="s">
        <v>350</v>
      </c>
      <c r="B161" s="179" t="s">
        <v>212</v>
      </c>
      <c r="C161" s="100" t="s">
        <v>251</v>
      </c>
      <c r="D161" s="100" t="s">
        <v>355</v>
      </c>
      <c r="E161" s="114" t="s">
        <v>415</v>
      </c>
      <c r="F161" s="100">
        <v>18100</v>
      </c>
      <c r="G161" s="100">
        <v>0</v>
      </c>
      <c r="H161" s="117">
        <f t="shared" si="3"/>
        <v>-18100</v>
      </c>
      <c r="I161" s="100" t="s">
        <v>497</v>
      </c>
    </row>
    <row r="162" spans="1:48" ht="38.25">
      <c r="A162" s="187"/>
      <c r="B162" s="181"/>
      <c r="C162" s="100" t="s">
        <v>251</v>
      </c>
      <c r="D162" s="100" t="s">
        <v>356</v>
      </c>
      <c r="E162" s="114" t="s">
        <v>415</v>
      </c>
      <c r="F162" s="100">
        <v>0</v>
      </c>
      <c r="G162" s="100">
        <v>12321</v>
      </c>
      <c r="H162" s="117">
        <f t="shared" si="3"/>
        <v>12321</v>
      </c>
      <c r="I162" s="100" t="s">
        <v>498</v>
      </c>
    </row>
    <row r="163" spans="1:48" ht="25.5">
      <c r="A163" s="113" t="s">
        <v>351</v>
      </c>
      <c r="B163" s="100" t="s">
        <v>213</v>
      </c>
      <c r="C163" s="100" t="s">
        <v>251</v>
      </c>
      <c r="D163" s="100" t="s">
        <v>357</v>
      </c>
      <c r="E163" s="114" t="s">
        <v>415</v>
      </c>
      <c r="F163" s="100">
        <v>20000</v>
      </c>
      <c r="G163" s="100">
        <v>11090</v>
      </c>
      <c r="H163" s="117">
        <f t="shared" si="3"/>
        <v>-8910</v>
      </c>
      <c r="I163" s="100" t="s">
        <v>531</v>
      </c>
    </row>
    <row r="164" spans="1:48" ht="25.5">
      <c r="A164" s="113" t="s">
        <v>354</v>
      </c>
      <c r="B164" s="100" t="s">
        <v>214</v>
      </c>
      <c r="C164" s="100" t="s">
        <v>251</v>
      </c>
      <c r="D164" s="100" t="s">
        <v>358</v>
      </c>
      <c r="E164" s="114" t="s">
        <v>415</v>
      </c>
      <c r="F164" s="121">
        <v>44800</v>
      </c>
      <c r="G164" s="100">
        <v>15048</v>
      </c>
      <c r="H164" s="117">
        <f t="shared" si="3"/>
        <v>-29752</v>
      </c>
      <c r="I164" s="100" t="s">
        <v>533</v>
      </c>
    </row>
    <row r="165" spans="1:48" ht="25.5">
      <c r="A165" s="113" t="s">
        <v>352</v>
      </c>
      <c r="B165" s="100" t="s">
        <v>215</v>
      </c>
      <c r="C165" s="100" t="s">
        <v>251</v>
      </c>
      <c r="D165" s="100" t="s">
        <v>359</v>
      </c>
      <c r="E165" s="114" t="s">
        <v>415</v>
      </c>
      <c r="F165" s="121">
        <v>44800</v>
      </c>
      <c r="G165" s="100">
        <v>15312</v>
      </c>
      <c r="H165" s="117">
        <f t="shared" si="3"/>
        <v>-29488</v>
      </c>
      <c r="I165" s="100" t="s">
        <v>532</v>
      </c>
    </row>
    <row r="166" spans="1:48" ht="51">
      <c r="A166" s="186" t="s">
        <v>353</v>
      </c>
      <c r="B166" s="179" t="s">
        <v>216</v>
      </c>
      <c r="C166" s="100" t="s">
        <v>251</v>
      </c>
      <c r="D166" s="100" t="s">
        <v>360</v>
      </c>
      <c r="E166" s="114" t="s">
        <v>415</v>
      </c>
      <c r="F166" s="121">
        <v>1700</v>
      </c>
      <c r="G166" s="100">
        <f>276+2595</f>
        <v>2871</v>
      </c>
      <c r="H166" s="117">
        <f t="shared" si="3"/>
        <v>1171</v>
      </c>
      <c r="I166" s="100" t="s">
        <v>499</v>
      </c>
    </row>
    <row r="167" spans="1:48" ht="38.25">
      <c r="A167" s="188"/>
      <c r="B167" s="180"/>
      <c r="C167" s="100" t="s">
        <v>382</v>
      </c>
      <c r="D167" s="100" t="s">
        <v>361</v>
      </c>
      <c r="E167" s="114" t="s">
        <v>177</v>
      </c>
      <c r="F167" s="117">
        <v>1.5</v>
      </c>
      <c r="G167" s="117">
        <f>G160/(G161+G162+G163+G164+G165+G166)</f>
        <v>0.26695455668938245</v>
      </c>
      <c r="H167" s="117">
        <f t="shared" ref="H167:H179" si="4">G167-F167</f>
        <v>-1.2330454433106175</v>
      </c>
      <c r="I167" s="100" t="s">
        <v>521</v>
      </c>
    </row>
    <row r="168" spans="1:48" ht="51">
      <c r="A168" s="187"/>
      <c r="B168" s="181"/>
      <c r="C168" s="100" t="s">
        <v>252</v>
      </c>
      <c r="D168" s="100" t="s">
        <v>362</v>
      </c>
      <c r="E168" s="114" t="s">
        <v>164</v>
      </c>
      <c r="F168" s="100">
        <v>90</v>
      </c>
      <c r="G168" s="118">
        <f>11714/12221*100</f>
        <v>95.851403322150404</v>
      </c>
      <c r="H168" s="117">
        <f t="shared" si="4"/>
        <v>5.8514033221504036</v>
      </c>
      <c r="I168" s="100" t="s">
        <v>501</v>
      </c>
    </row>
    <row r="169" spans="1:48" s="79" customFormat="1" ht="25.5">
      <c r="A169" s="186" t="s">
        <v>217</v>
      </c>
      <c r="B169" s="179" t="s">
        <v>218</v>
      </c>
      <c r="C169" s="100" t="s">
        <v>250</v>
      </c>
      <c r="D169" s="114"/>
      <c r="E169" s="114" t="s">
        <v>177</v>
      </c>
      <c r="F169" s="115">
        <f>'виконання ІС'!E80</f>
        <v>0</v>
      </c>
      <c r="G169" s="115">
        <f>'виконання ІС'!I80</f>
        <v>0</v>
      </c>
      <c r="H169" s="115">
        <f t="shared" si="4"/>
        <v>0</v>
      </c>
      <c r="I169" s="100" t="s">
        <v>522</v>
      </c>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row>
    <row r="170" spans="1:48" ht="76.5">
      <c r="A170" s="188"/>
      <c r="B170" s="180"/>
      <c r="C170" s="100" t="s">
        <v>251</v>
      </c>
      <c r="D170" s="100" t="s">
        <v>380</v>
      </c>
      <c r="E170" s="114" t="s">
        <v>415</v>
      </c>
      <c r="F170" s="129">
        <v>1260</v>
      </c>
      <c r="G170" s="129">
        <v>1085</v>
      </c>
      <c r="H170" s="117">
        <f t="shared" si="4"/>
        <v>-175</v>
      </c>
      <c r="I170" s="100" t="s">
        <v>502</v>
      </c>
    </row>
    <row r="171" spans="1:48" ht="51">
      <c r="A171" s="187"/>
      <c r="B171" s="181"/>
      <c r="C171" s="100" t="s">
        <v>252</v>
      </c>
      <c r="D171" s="100" t="s">
        <v>381</v>
      </c>
      <c r="E171" s="114" t="s">
        <v>164</v>
      </c>
      <c r="F171" s="100">
        <v>94</v>
      </c>
      <c r="G171" s="116" t="s">
        <v>231</v>
      </c>
      <c r="H171" s="117">
        <f t="shared" si="4"/>
        <v>-11.400000000000006</v>
      </c>
      <c r="I171" s="100" t="s">
        <v>503</v>
      </c>
    </row>
    <row r="172" spans="1:48" s="79" customFormat="1" ht="37.5" customHeight="1">
      <c r="A172" s="190" t="s">
        <v>161</v>
      </c>
      <c r="B172" s="179" t="s">
        <v>219</v>
      </c>
      <c r="C172" s="100" t="s">
        <v>250</v>
      </c>
      <c r="D172" s="114"/>
      <c r="E172" s="114" t="s">
        <v>177</v>
      </c>
      <c r="F172" s="115">
        <f>'виконання ІС'!E81</f>
        <v>288</v>
      </c>
      <c r="G172" s="115">
        <f>'виконання ІС'!I81</f>
        <v>0</v>
      </c>
      <c r="H172" s="115">
        <f t="shared" si="4"/>
        <v>-288</v>
      </c>
      <c r="I172" s="100" t="s">
        <v>523</v>
      </c>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row>
    <row r="173" spans="1:48" ht="51">
      <c r="A173" s="191"/>
      <c r="B173" s="180"/>
      <c r="C173" s="100" t="s">
        <v>251</v>
      </c>
      <c r="D173" s="100" t="s">
        <v>363</v>
      </c>
      <c r="E173" s="114" t="s">
        <v>415</v>
      </c>
      <c r="F173" s="100">
        <v>5</v>
      </c>
      <c r="G173" s="100">
        <v>0</v>
      </c>
      <c r="H173" s="117">
        <f t="shared" si="4"/>
        <v>-5</v>
      </c>
      <c r="I173" s="100" t="s">
        <v>523</v>
      </c>
    </row>
    <row r="174" spans="1:48" ht="33.75" customHeight="1">
      <c r="A174" s="191"/>
      <c r="B174" s="180"/>
      <c r="C174" s="100" t="s">
        <v>382</v>
      </c>
      <c r="D174" s="100" t="s">
        <v>364</v>
      </c>
      <c r="E174" s="114" t="s">
        <v>177</v>
      </c>
      <c r="F174" s="117">
        <v>14.4</v>
      </c>
      <c r="G174" s="117">
        <v>0</v>
      </c>
      <c r="H174" s="117">
        <f t="shared" si="4"/>
        <v>-14.4</v>
      </c>
      <c r="I174" s="100" t="s">
        <v>523</v>
      </c>
    </row>
    <row r="175" spans="1:48" ht="51">
      <c r="A175" s="192"/>
      <c r="B175" s="181"/>
      <c r="C175" s="100" t="s">
        <v>252</v>
      </c>
      <c r="D175" s="100" t="s">
        <v>365</v>
      </c>
      <c r="E175" s="114" t="s">
        <v>164</v>
      </c>
      <c r="F175" s="117">
        <v>27</v>
      </c>
      <c r="G175" s="117">
        <v>0</v>
      </c>
      <c r="H175" s="117">
        <f t="shared" si="4"/>
        <v>-27</v>
      </c>
      <c r="I175" s="100" t="s">
        <v>523</v>
      </c>
    </row>
    <row r="176" spans="1:48" ht="13.5">
      <c r="A176" s="190" t="s">
        <v>220</v>
      </c>
      <c r="B176" s="170" t="s">
        <v>221</v>
      </c>
      <c r="C176" s="170"/>
      <c r="D176" s="170"/>
      <c r="E176" s="170"/>
      <c r="F176" s="170"/>
      <c r="G176" s="170"/>
      <c r="H176" s="170"/>
      <c r="I176" s="100" t="s">
        <v>180</v>
      </c>
    </row>
    <row r="177" spans="1:9" ht="25.5">
      <c r="A177" s="191"/>
      <c r="B177" s="193"/>
      <c r="C177" s="100" t="s">
        <v>251</v>
      </c>
      <c r="D177" s="100" t="s">
        <v>366</v>
      </c>
      <c r="E177" s="114" t="s">
        <v>415</v>
      </c>
      <c r="F177" s="100">
        <v>31</v>
      </c>
      <c r="G177" s="100">
        <v>3</v>
      </c>
      <c r="H177" s="117">
        <f t="shared" si="4"/>
        <v>-28</v>
      </c>
      <c r="I177" s="100" t="s">
        <v>504</v>
      </c>
    </row>
    <row r="178" spans="1:9" ht="38.25">
      <c r="A178" s="191"/>
      <c r="B178" s="194"/>
      <c r="C178" s="100" t="s">
        <v>382</v>
      </c>
      <c r="D178" s="100" t="s">
        <v>367</v>
      </c>
      <c r="E178" s="114" t="s">
        <v>164</v>
      </c>
      <c r="F178" s="100">
        <v>100</v>
      </c>
      <c r="G178" s="121">
        <f>G177/F177*100</f>
        <v>9.67741935483871</v>
      </c>
      <c r="H178" s="117">
        <f t="shared" si="4"/>
        <v>-90.322580645161295</v>
      </c>
      <c r="I178" s="100" t="s">
        <v>504</v>
      </c>
    </row>
    <row r="179" spans="1:9" ht="51">
      <c r="A179" s="191"/>
      <c r="B179" s="194"/>
      <c r="C179" s="137" t="s">
        <v>252</v>
      </c>
      <c r="D179" s="137" t="s">
        <v>368</v>
      </c>
      <c r="E179" s="112" t="s">
        <v>164</v>
      </c>
      <c r="F179" s="137">
        <v>100</v>
      </c>
      <c r="G179" s="137">
        <v>100</v>
      </c>
      <c r="H179" s="199">
        <f t="shared" si="4"/>
        <v>0</v>
      </c>
      <c r="I179" s="137" t="s">
        <v>505</v>
      </c>
    </row>
    <row r="180" spans="1:9">
      <c r="A180" s="202"/>
      <c r="B180" s="203" t="s">
        <v>528</v>
      </c>
      <c r="C180" s="204">
        <v>70</v>
      </c>
      <c r="D180" s="205"/>
      <c r="E180" s="206"/>
      <c r="F180" s="207"/>
      <c r="G180" s="207"/>
      <c r="H180" s="207"/>
      <c r="I180" s="208"/>
    </row>
    <row r="181" spans="1:9" ht="25.5">
      <c r="A181" s="209"/>
      <c r="B181" s="200" t="s">
        <v>416</v>
      </c>
      <c r="C181" s="101">
        <v>26</v>
      </c>
      <c r="D181" s="102"/>
      <c r="E181" s="138"/>
      <c r="F181" s="103"/>
      <c r="G181" s="103"/>
      <c r="H181" s="103"/>
      <c r="I181" s="104"/>
    </row>
    <row r="182" spans="1:9" ht="25.5">
      <c r="A182" s="209"/>
      <c r="B182" s="200" t="s">
        <v>412</v>
      </c>
      <c r="C182" s="101">
        <f>C180-C181</f>
        <v>44</v>
      </c>
      <c r="D182" s="102"/>
      <c r="E182" s="138"/>
      <c r="F182" s="103"/>
      <c r="G182" s="103"/>
      <c r="H182" s="103"/>
      <c r="I182" s="104"/>
    </row>
    <row r="183" spans="1:9" ht="25.5">
      <c r="A183" s="209"/>
      <c r="B183" s="200" t="s">
        <v>413</v>
      </c>
      <c r="C183" s="201">
        <f>C181/C180*100</f>
        <v>37.142857142857146</v>
      </c>
      <c r="D183" s="102"/>
      <c r="E183" s="138"/>
      <c r="F183" s="103"/>
      <c r="G183" s="103"/>
      <c r="H183" s="103"/>
      <c r="I183" s="104"/>
    </row>
    <row r="184" spans="1:9">
      <c r="A184" s="210"/>
      <c r="B184" s="211"/>
      <c r="C184" s="105"/>
      <c r="D184" s="106"/>
      <c r="E184" s="107"/>
      <c r="F184" s="105"/>
      <c r="G184" s="105"/>
      <c r="H184" s="105"/>
      <c r="I184" s="108"/>
    </row>
    <row r="189" spans="1:9" ht="16.5">
      <c r="B189" s="140" t="s">
        <v>537</v>
      </c>
      <c r="C189" s="141"/>
      <c r="D189" s="142"/>
      <c r="E189" s="142"/>
      <c r="F189" s="142" t="s">
        <v>538</v>
      </c>
      <c r="G189" s="140"/>
      <c r="H189" s="26"/>
    </row>
  </sheetData>
  <mergeCells count="94">
    <mergeCell ref="A56:A57"/>
    <mergeCell ref="A58:A59"/>
    <mergeCell ref="A60:A63"/>
    <mergeCell ref="A29:A32"/>
    <mergeCell ref="A33:A36"/>
    <mergeCell ref="A37:A40"/>
    <mergeCell ref="A44:A46"/>
    <mergeCell ref="A47:A53"/>
    <mergeCell ref="B169:B171"/>
    <mergeCell ref="A169:A171"/>
    <mergeCell ref="B172:B175"/>
    <mergeCell ref="A172:A175"/>
    <mergeCell ref="B177:B179"/>
    <mergeCell ref="A176:A179"/>
    <mergeCell ref="B155:B158"/>
    <mergeCell ref="A155:A158"/>
    <mergeCell ref="B161:B162"/>
    <mergeCell ref="A161:A162"/>
    <mergeCell ref="B166:B168"/>
    <mergeCell ref="A166:A168"/>
    <mergeCell ref="B143:B146"/>
    <mergeCell ref="A143:A146"/>
    <mergeCell ref="B147:B150"/>
    <mergeCell ref="A147:A150"/>
    <mergeCell ref="B151:B154"/>
    <mergeCell ref="A151:A154"/>
    <mergeCell ref="B134:B137"/>
    <mergeCell ref="A134:A137"/>
    <mergeCell ref="B138:B139"/>
    <mergeCell ref="A138:A139"/>
    <mergeCell ref="B140:B141"/>
    <mergeCell ref="A140:A141"/>
    <mergeCell ref="B125:B127"/>
    <mergeCell ref="A125:A127"/>
    <mergeCell ref="A128:A131"/>
    <mergeCell ref="B128:B131"/>
    <mergeCell ref="B104:B107"/>
    <mergeCell ref="A104:A107"/>
    <mergeCell ref="B108:B109"/>
    <mergeCell ref="A108:A109"/>
    <mergeCell ref="B110:B113"/>
    <mergeCell ref="A110:A113"/>
    <mergeCell ref="A91:A99"/>
    <mergeCell ref="A100:A101"/>
    <mergeCell ref="B100:B101"/>
    <mergeCell ref="A102:A103"/>
    <mergeCell ref="B102:B103"/>
    <mergeCell ref="B60:B63"/>
    <mergeCell ref="B77:B79"/>
    <mergeCell ref="B81:B84"/>
    <mergeCell ref="B85:B88"/>
    <mergeCell ref="B91:B99"/>
    <mergeCell ref="B37:B40"/>
    <mergeCell ref="B44:B46"/>
    <mergeCell ref="B47:B53"/>
    <mergeCell ref="B56:B57"/>
    <mergeCell ref="B58:B59"/>
    <mergeCell ref="A6:A8"/>
    <mergeCell ref="B13:B15"/>
    <mergeCell ref="B16:B19"/>
    <mergeCell ref="B24:B25"/>
    <mergeCell ref="B26:B28"/>
    <mergeCell ref="A13:A15"/>
    <mergeCell ref="A16:A19"/>
    <mergeCell ref="A20:A23"/>
    <mergeCell ref="A24:A25"/>
    <mergeCell ref="A26:A28"/>
    <mergeCell ref="B9:I9"/>
    <mergeCell ref="B132:H132"/>
    <mergeCell ref="B159:H159"/>
    <mergeCell ref="B176:H176"/>
    <mergeCell ref="B10:I10"/>
    <mergeCell ref="B11:H11"/>
    <mergeCell ref="C115:C116"/>
    <mergeCell ref="E115:E116"/>
    <mergeCell ref="F115:F116"/>
    <mergeCell ref="G115:G116"/>
    <mergeCell ref="H115:H116"/>
    <mergeCell ref="I115:I116"/>
    <mergeCell ref="D115:D116"/>
    <mergeCell ref="B89:H89"/>
    <mergeCell ref="B64:H64"/>
    <mergeCell ref="B29:B32"/>
    <mergeCell ref="B33:B36"/>
    <mergeCell ref="B2:I2"/>
    <mergeCell ref="B3:I3"/>
    <mergeCell ref="B4:I4"/>
    <mergeCell ref="B6:B7"/>
    <mergeCell ref="C6:C7"/>
    <mergeCell ref="E6:E7"/>
    <mergeCell ref="F6:G6"/>
    <mergeCell ref="H6:H7"/>
    <mergeCell ref="I6:I7"/>
    <mergeCell ref="D6:D7"/>
  </mergeCells>
  <pageMargins left="0.31496062992125984" right="0.19685039370078741" top="0.35433070866141736" bottom="0.35433070866141736"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dimension ref="B2:H27"/>
  <sheetViews>
    <sheetView zoomScale="95" zoomScaleNormal="95" workbookViewId="0">
      <selection activeCell="B19" sqref="B19"/>
    </sheetView>
  </sheetViews>
  <sheetFormatPr defaultRowHeight="15"/>
  <cols>
    <col min="1" max="1" width="2.85546875" customWidth="1"/>
    <col min="2" max="2" width="45.7109375" style="7" customWidth="1"/>
    <col min="3" max="3" width="16.5703125" customWidth="1"/>
    <col min="4" max="4" width="14.5703125" customWidth="1"/>
    <col min="5" max="5" width="15" customWidth="1"/>
    <col min="6" max="6" width="14.85546875" customWidth="1"/>
    <col min="7" max="7" width="48.140625" customWidth="1"/>
  </cols>
  <sheetData>
    <row r="2" spans="2:7">
      <c r="B2" s="195" t="s">
        <v>32</v>
      </c>
      <c r="C2" s="195"/>
      <c r="D2" s="195"/>
      <c r="E2" s="195"/>
      <c r="F2" s="195"/>
      <c r="G2" s="195"/>
    </row>
    <row r="3" spans="2:7">
      <c r="B3" s="195" t="s">
        <v>426</v>
      </c>
      <c r="C3" s="195"/>
      <c r="D3" s="195"/>
      <c r="E3" s="195"/>
      <c r="F3" s="195"/>
      <c r="G3" s="195"/>
    </row>
    <row r="4" spans="2:7">
      <c r="B4" s="195" t="s">
        <v>225</v>
      </c>
      <c r="C4" s="195"/>
      <c r="D4" s="195"/>
      <c r="E4" s="195"/>
      <c r="F4" s="195"/>
      <c r="G4" s="195"/>
    </row>
    <row r="6" spans="2:7" ht="32.25" customHeight="1">
      <c r="B6" s="196" t="s">
        <v>21</v>
      </c>
      <c r="C6" s="198" t="s">
        <v>22</v>
      </c>
      <c r="D6" s="198" t="s">
        <v>29</v>
      </c>
      <c r="E6" s="198"/>
      <c r="F6" s="198" t="s">
        <v>25</v>
      </c>
      <c r="G6" s="198" t="s">
        <v>30</v>
      </c>
    </row>
    <row r="7" spans="2:7" ht="41.25" customHeight="1">
      <c r="B7" s="197"/>
      <c r="C7" s="198"/>
      <c r="D7" s="6" t="s">
        <v>23</v>
      </c>
      <c r="E7" s="6" t="s">
        <v>24</v>
      </c>
      <c r="F7" s="198"/>
      <c r="G7" s="198"/>
    </row>
    <row r="8" spans="2:7" ht="21.75" customHeight="1">
      <c r="B8" s="19">
        <v>1</v>
      </c>
      <c r="C8" s="8">
        <v>2</v>
      </c>
      <c r="D8" s="8">
        <v>3</v>
      </c>
      <c r="E8" s="8">
        <v>4</v>
      </c>
      <c r="F8" s="8">
        <v>5</v>
      </c>
      <c r="G8" s="8">
        <v>6</v>
      </c>
    </row>
    <row r="9" spans="2:7" ht="51.75" customHeight="1">
      <c r="B9" s="9" t="s">
        <v>226</v>
      </c>
      <c r="C9" s="5" t="s">
        <v>164</v>
      </c>
      <c r="D9" s="18">
        <v>81.2</v>
      </c>
      <c r="E9" s="18">
        <v>75.2</v>
      </c>
      <c r="F9" s="18">
        <f>E9-D9</f>
        <v>-6</v>
      </c>
      <c r="G9" s="53" t="s">
        <v>229</v>
      </c>
    </row>
    <row r="10" spans="2:7" ht="49.5" customHeight="1">
      <c r="B10" s="9" t="s">
        <v>227</v>
      </c>
      <c r="C10" s="5" t="s">
        <v>164</v>
      </c>
      <c r="D10" s="18">
        <v>90</v>
      </c>
      <c r="E10" s="18">
        <v>82.7</v>
      </c>
      <c r="F10" s="18">
        <f>E10-D10</f>
        <v>-7.2999999999999972</v>
      </c>
      <c r="G10" s="53" t="s">
        <v>229</v>
      </c>
    </row>
    <row r="11" spans="2:7" ht="57" customHeight="1">
      <c r="B11" s="9" t="s">
        <v>228</v>
      </c>
      <c r="C11" s="5" t="s">
        <v>164</v>
      </c>
      <c r="D11" s="18">
        <v>90</v>
      </c>
      <c r="E11" s="18">
        <v>95</v>
      </c>
      <c r="F11" s="18">
        <f>E11-D11</f>
        <v>5</v>
      </c>
      <c r="G11" s="53" t="s">
        <v>536</v>
      </c>
    </row>
    <row r="12" spans="2:7" ht="10.5" customHeight="1">
      <c r="B12" s="10"/>
      <c r="C12" s="11"/>
      <c r="D12" s="11"/>
      <c r="E12" s="11"/>
      <c r="F12" s="11"/>
      <c r="G12" s="12"/>
    </row>
    <row r="13" spans="2:7" ht="26.25" customHeight="1">
      <c r="B13" s="13" t="s">
        <v>35</v>
      </c>
      <c r="C13" s="54">
        <v>1</v>
      </c>
      <c r="D13" s="4"/>
      <c r="E13" s="4"/>
      <c r="F13" s="4"/>
      <c r="G13" s="14"/>
    </row>
    <row r="14" spans="2:7" ht="30.75" customHeight="1">
      <c r="B14" s="13" t="s">
        <v>37</v>
      </c>
      <c r="C14" s="54">
        <v>2</v>
      </c>
      <c r="D14" s="4"/>
      <c r="E14" s="4"/>
      <c r="F14" s="4"/>
      <c r="G14" s="14"/>
    </row>
    <row r="15" spans="2:7">
      <c r="B15" s="13" t="s">
        <v>36</v>
      </c>
      <c r="C15" s="55">
        <f>1/3*100</f>
        <v>33.333333333333329</v>
      </c>
      <c r="D15" s="4"/>
      <c r="E15" s="4"/>
      <c r="F15" s="4"/>
      <c r="G15" s="14"/>
    </row>
    <row r="16" spans="2:7" ht="9.75" customHeight="1">
      <c r="B16" s="15"/>
      <c r="C16" s="16"/>
      <c r="D16" s="16"/>
      <c r="E16" s="16"/>
      <c r="F16" s="16"/>
      <c r="G16" s="17"/>
    </row>
    <row r="19" spans="2:8" ht="16.5">
      <c r="B19" s="140" t="s">
        <v>537</v>
      </c>
      <c r="C19" s="141"/>
      <c r="D19" s="142"/>
      <c r="E19" s="142"/>
      <c r="F19" s="142" t="s">
        <v>538</v>
      </c>
      <c r="G19" s="140"/>
      <c r="H19" s="26"/>
    </row>
    <row r="21" spans="2:8">
      <c r="B21" s="26"/>
    </row>
    <row r="22" spans="2:8">
      <c r="B22" s="26"/>
    </row>
    <row r="23" spans="2:8">
      <c r="B23" s="26"/>
    </row>
    <row r="24" spans="2:8">
      <c r="B24" s="26"/>
    </row>
    <row r="25" spans="2:8">
      <c r="B25" s="26"/>
    </row>
    <row r="26" spans="2:8">
      <c r="B26" s="26"/>
    </row>
    <row r="27" spans="2:8">
      <c r="B27" s="1"/>
    </row>
  </sheetData>
  <mergeCells count="8">
    <mergeCell ref="B2:G2"/>
    <mergeCell ref="B4:G4"/>
    <mergeCell ref="B3:G3"/>
    <mergeCell ref="B6:B7"/>
    <mergeCell ref="C6:C7"/>
    <mergeCell ref="D6:E6"/>
    <mergeCell ref="F6:F7"/>
    <mergeCell ref="G6:G7"/>
  </mergeCells>
  <pageMargins left="0.11811023622047245" right="0.11811023622047245" top="0.35433070866141736" bottom="0.15748031496062992"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виконання ІС</vt:lpstr>
      <vt:lpstr>показники ІС</vt:lpstr>
      <vt:lpstr>індикатори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2020-02-21T15:50:58Z</cp:lastPrinted>
  <dcterms:created xsi:type="dcterms:W3CDTF">2006-09-28T05:33:49Z</dcterms:created>
  <dcterms:modified xsi:type="dcterms:W3CDTF">2020-10-29T16:28:41Z</dcterms:modified>
</cp:coreProperties>
</file>