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440" windowHeight="7950" activeTab="0"/>
  </bookViews>
  <sheets>
    <sheet name="2014" sheetId="1" r:id="rId1"/>
  </sheets>
  <definedNames>
    <definedName name="_xlnm.Print_Area" localSheetId="0">'2014'!$A$1:$I$260</definedName>
  </definedNames>
  <calcPr fullCalcOnLoad="1"/>
</workbook>
</file>

<file path=xl/sharedStrings.xml><?xml version="1.0" encoding="utf-8"?>
<sst xmlns="http://schemas.openxmlformats.org/spreadsheetml/2006/main" count="1113" uniqueCount="268">
  <si>
    <t>ЗАТВЕРДЖЕНО</t>
  </si>
  <si>
    <t xml:space="preserve">Наказ Міністерства економічного розвитку </t>
  </si>
  <si>
    <t>і торгівлі України від 15.09.2014 року № 1106</t>
  </si>
  <si>
    <t>Додаток до річного плану закупівель на 2014 рік</t>
  </si>
  <si>
    <t xml:space="preserve"> (внесеними по довідкам від 18.12.14 №19, від 24.12.14 №26/13, від 25.12.14 №27/13)</t>
  </si>
  <si>
    <t>Предмет закупівлі</t>
  </si>
  <si>
    <r>
      <t xml:space="preserve">Код КЕКВ </t>
    </r>
    <r>
      <rPr>
        <sz val="10"/>
        <rFont val="Times New Roman"/>
        <family val="1"/>
      </rPr>
      <t>(для бюджетних коштів)</t>
    </r>
  </si>
  <si>
    <t>Очікувана вартість предмета закупівлі, грн.</t>
  </si>
  <si>
    <t>Процедура закупівлі</t>
  </si>
  <si>
    <t>Орієнтовний початок проведення процедури закупівлі</t>
  </si>
  <si>
    <t>Примітка</t>
  </si>
  <si>
    <t>Зміни, що вносяться, грн.</t>
  </si>
  <si>
    <t>Назва фонду, за кошти якого планується провести закупівлю (загальний / спеціальний)</t>
  </si>
  <si>
    <t>10.62.1</t>
  </si>
  <si>
    <t>Крохмалі і крохмалепродукти; цукор і цукрові сиропи, н. в. і. у. (крохмаль)</t>
  </si>
  <si>
    <t>-</t>
  </si>
  <si>
    <t>місцевий бюджет загального фонду</t>
  </si>
  <si>
    <t>20.41.3</t>
  </si>
  <si>
    <t>Мило, засоби мийні та засоби для чищення</t>
  </si>
  <si>
    <t>Крохмалі і крохмалепродукти; цукор і цукрові сиропи, н. в. і. у. (глюкоза та розчини глюкози)</t>
  </si>
  <si>
    <t>кредиторська заборгованість</t>
  </si>
  <si>
    <t>20.13.3</t>
  </si>
  <si>
    <t>Солі металів галоїдні; гіпохлорити, хлорати й перхлорати (натрію хлорид, калію хлорид та інші)</t>
  </si>
  <si>
    <t>22.19.7</t>
  </si>
  <si>
    <t>Вироби з вулканізованої ґуми, н. в. і. у.; ґума тверда; вироби з твердої ґуми (рукавички)</t>
  </si>
  <si>
    <t>21.20.1</t>
  </si>
  <si>
    <t>Ліки</t>
  </si>
  <si>
    <t>21.10.5</t>
  </si>
  <si>
    <t xml:space="preserve">Провітаміни, вітаміни й гормони; глікозиди та алкалоїди рослинного походження та їхні похідні; антибіотики </t>
  </si>
  <si>
    <t>20.59.1</t>
  </si>
  <si>
    <t>Фотопластинки й фотоплівки, плівка для миттєвого друку; фотохімікати та фотографічні незмішані речовини</t>
  </si>
  <si>
    <t>26.51.8</t>
  </si>
  <si>
    <t>Частини та приладдя до вимірювального, випробовувального та навігаційного устатковання (електроди до аналізаторів, модулі для реагентів)</t>
  </si>
  <si>
    <t>17.12.1</t>
  </si>
  <si>
    <t xml:space="preserve">Папір газетний, папір ручного виготовляння та інший некрейдований папір, або картон для графічних цілей </t>
  </si>
  <si>
    <t>20.59.5</t>
  </si>
  <si>
    <t>Продукти хімічні різноманітні (реактиви діагностичні чи лабораторні)</t>
  </si>
  <si>
    <t>20.20.1</t>
  </si>
  <si>
    <t>Пестициди та інші агрохімічні продукти (дезінфекційні засоби)</t>
  </si>
  <si>
    <t>20.11.1</t>
  </si>
  <si>
    <t>Гази промислові</t>
  </si>
  <si>
    <t>32.50.1</t>
  </si>
  <si>
    <t>Інструменти і прилади медичні, хірургічні та стоматологічні (шприци, катетери, зонди, голки, леза, стерилізатор)</t>
  </si>
  <si>
    <t>21.20.2</t>
  </si>
  <si>
    <t>Препарати фармацевтичні, інші</t>
  </si>
  <si>
    <t>20.14.5</t>
  </si>
  <si>
    <t>Сполуки сіркоорганічні та інші органічно-неорганічні сполуки; гетероциклічні сполуки, н. в. і. у.</t>
  </si>
  <si>
    <t>Провітаміни, вітаміни й гормони; глікозиди та алкалоїди рослинного походження та їхні похідні; антибіотики (наркотичні засоби)</t>
  </si>
  <si>
    <t>20.13.2</t>
  </si>
  <si>
    <t>Елементи хімічні, н. в. і. у.; кислоти та сполуки неорганічні</t>
  </si>
  <si>
    <t>20.13.6</t>
  </si>
  <si>
    <t>Речовини хімічні неорганічні основні, інші, н. в. і. у. (перекись водню, пергідроль)</t>
  </si>
  <si>
    <t>10.61.3</t>
  </si>
  <si>
    <t>Крупи, крупка, гранули та інші продукти з зерна зернових культур</t>
  </si>
  <si>
    <t>10.51.1</t>
  </si>
  <si>
    <t>Молоко та вершки, рідинні, оброблені</t>
  </si>
  <si>
    <t>01.47.2</t>
  </si>
  <si>
    <t>Яйця у шкаралупі, свіжі</t>
  </si>
  <si>
    <t>10.81.1</t>
  </si>
  <si>
    <t>Цукор-сирець, тростинний і очищений тростинний чи буряковий цукор (сахароза); меляса</t>
  </si>
  <si>
    <t>10.41.5</t>
  </si>
  <si>
    <t>Олії рафіновані</t>
  </si>
  <si>
    <t>10.61.2</t>
  </si>
  <si>
    <t>Борошно зернових і овочевих культур; їхні суміші</t>
  </si>
  <si>
    <t>10.84.3</t>
  </si>
  <si>
    <t>Сіль харчова</t>
  </si>
  <si>
    <t>10.51.3</t>
  </si>
  <si>
    <t>Масло вершкове та молочні пасти</t>
  </si>
  <si>
    <t>10.71.1</t>
  </si>
  <si>
    <t>Вироби хлібобулочні, кондитерські та кулінарні, борошняні, нетривалого зберігання</t>
  </si>
  <si>
    <t>01.13.5</t>
  </si>
  <si>
    <t>Коренеплоди та бульби їстівні з високим умістом крохмалю та інуліну (КАРТОПЛЯ)</t>
  </si>
  <si>
    <t>10.61.1</t>
  </si>
  <si>
    <t>Рис напівобрушений чи повністю обрушений, або лущений чи дроблений</t>
  </si>
  <si>
    <t>10.89.1</t>
  </si>
  <si>
    <t>Супи, яйця, дріжджі та інші харчові продукти; екстракти та соки з м'яса, риби й водяних безхребетних</t>
  </si>
  <si>
    <t>10.83.1</t>
  </si>
  <si>
    <t>Чай і кава, оброблені</t>
  </si>
  <si>
    <t>56.29.2</t>
  </si>
  <si>
    <t>Послуги їдалень (талони для донорів)</t>
  </si>
  <si>
    <t>10.51.5</t>
  </si>
  <si>
    <t>Продукти молочні, інші</t>
  </si>
  <si>
    <t>10.51.4</t>
  </si>
  <si>
    <t>Сир сичужний та кисломолочний сир</t>
  </si>
  <si>
    <t>10.20.1</t>
  </si>
  <si>
    <t>Продукція рибна, свіжа, охолоджена чи заморожена</t>
  </si>
  <si>
    <t>01.13.1</t>
  </si>
  <si>
    <t>Овочі листкові (КАПУСТА)</t>
  </si>
  <si>
    <t>01.13.4</t>
  </si>
  <si>
    <t>Овочі коренеплідні, цибулинні та бульбоплідні (МОРКВА, ЧАСНИК, ЦИБУЛЯ)</t>
  </si>
  <si>
    <t>01.11.7</t>
  </si>
  <si>
    <t>Овочі бобові сушені (ГОРОХ)</t>
  </si>
  <si>
    <t>10.12.1</t>
  </si>
  <si>
    <t>М'ясо свійської птиці, свіже чи охолоджене</t>
  </si>
  <si>
    <t>10.39.1</t>
  </si>
  <si>
    <t>Плоди та овочі, оброблені та законсервовані, крім картоплі (соус томатн)</t>
  </si>
  <si>
    <t>10.39.2</t>
  </si>
  <si>
    <t>Плоди й горіхи, оброблені та законсервовані (сухофрукти)</t>
  </si>
  <si>
    <t>33.13.1</t>
  </si>
  <si>
    <t>Ремонтування та технічне обслуговування електронного й оптичного устатковання (вимір.часу, медичного електронного)</t>
  </si>
  <si>
    <t>33.12.1</t>
  </si>
  <si>
    <t>Ремонтування та технічне обслуговування машин загальної призначеності (послуги з технічного ослуговування ліфтів) конторських/офісних машин та устатковання (крім комп'ютерів і периферійних пристроїв) холодильного та вентиляційного устаткування</t>
  </si>
  <si>
    <t>81.29.1</t>
  </si>
  <si>
    <t>Послуги щодо очищування, інші (Послуги щодо дезінфікування та винищування шкідників, Послуги щодо санітарного обробляння)</t>
  </si>
  <si>
    <t>35.30.1</t>
  </si>
  <si>
    <t>Пара та гаряча вода; постачання пари та гарячої води</t>
  </si>
  <si>
    <t>36.00.2</t>
  </si>
  <si>
    <t>Обробляння та розподіляння води трубопроводами</t>
  </si>
  <si>
    <t>35.11.1</t>
  </si>
  <si>
    <t>Енергія електрична</t>
  </si>
  <si>
    <t>грудень</t>
  </si>
  <si>
    <t>довідка №27/13 від 25.12.14</t>
  </si>
  <si>
    <t>38.11.2</t>
  </si>
  <si>
    <t>Збирання безпечних відходів, непридатних для вторинного використовування</t>
  </si>
  <si>
    <t>37.00.1</t>
  </si>
  <si>
    <t>Послуги каналізаційні (послуги водовідведення)</t>
  </si>
  <si>
    <t>35.21.1</t>
  </si>
  <si>
    <t>Газ кам'яновугільний, водяний, генераторний і подібні види газів, крім нафтових газів</t>
  </si>
  <si>
    <t>тимчасовий кошторис</t>
  </si>
  <si>
    <t>Кошти спец. фонду місц. бюджет “плата за послуги бюджетних установ”</t>
  </si>
  <si>
    <t>20.30.1</t>
  </si>
  <si>
    <t>Фарби та лаки на основі полімерів (фарби, лаки, розчинник)</t>
  </si>
  <si>
    <t>17.23.1</t>
  </si>
  <si>
    <t>Вироби канцелярські, паперові (папір, швидкошив,бланки)</t>
  </si>
  <si>
    <t>листопад</t>
  </si>
  <si>
    <t>20.14.7</t>
  </si>
  <si>
    <t>Продукти хімічні органічні, основні, різноманітні (спирт)</t>
  </si>
  <si>
    <t>жовтень</t>
  </si>
  <si>
    <t>62.02.2</t>
  </si>
  <si>
    <t xml:space="preserve">Послуги щодо консультування стосовно систем і програмного забезпечення </t>
  </si>
  <si>
    <t>довідка №26/13 від 24.12.14</t>
  </si>
  <si>
    <t>26.51.5</t>
  </si>
  <si>
    <t>Прилади для контролювання інших фізичних характеристик (термометри гідрометри, прилади й апаратура для фізичного чи хімічного аналізу, індикатори, стеритести)</t>
  </si>
  <si>
    <t>Речовини хімічні неорганічні основні, інші, н. в. і. у. (перекись водню)</t>
  </si>
  <si>
    <t>20.15.1</t>
  </si>
  <si>
    <t>Кислота азотна; кислоти сульфоазотні; аміак</t>
  </si>
  <si>
    <t>Провітаміни, вітаміни й гормони; глікозиди та алкалоїди рослинного походження та їхні похідні; антибіотики</t>
  </si>
  <si>
    <t>32.50.5</t>
  </si>
  <si>
    <t>Вироби медичної та хірургічної призначеності, інші (кетгут, гель)</t>
  </si>
  <si>
    <t>22.22.1</t>
  </si>
  <si>
    <t>Тара пластмасова (контейнери для крові)</t>
  </si>
  <si>
    <t>22.19.5</t>
  </si>
  <si>
    <t>Тканини проґумовані (крім кордів до шин) (клейона підкладна)</t>
  </si>
  <si>
    <t>Овочі коренеплідні, цибулинні та бульбоплідні (МОРКВА, ЧАСНИК, ЦИБУЛЯ</t>
  </si>
  <si>
    <t>довідка №19 від 18.1.14</t>
  </si>
  <si>
    <t>27.32.1</t>
  </si>
  <si>
    <t>Крохмалі і крохмалепродукти; цукор і цукрові сиропи, н. в. і. у. (крохмал)</t>
  </si>
  <si>
    <t>Інструменти і прилади медичні, хірургічні та стоматологічні (шприци, катетери, зонди, голки, стерилізатор)</t>
  </si>
  <si>
    <t>62.02.3</t>
  </si>
  <si>
    <t>Послуги щодо технічної допомоги у сфері інформаційних технологій</t>
  </si>
  <si>
    <t>43.22.1</t>
  </si>
  <si>
    <t>Монтаж водопровідних, каналізаційних, систем опалювання, вентиляції та кондиціювання повітря (т/о модулів)</t>
  </si>
  <si>
    <t>80.30.1</t>
  </si>
  <si>
    <t>Послуги, пов'язані з розслідуванням (послуги, що надаються за сигналом тривоги)</t>
  </si>
  <si>
    <t>71.20.1</t>
  </si>
  <si>
    <t>Послуги щодо технічного випробовування й аналізування</t>
  </si>
  <si>
    <t>86.90.1</t>
  </si>
  <si>
    <t>Послуги у сфері охорони здоров'я, інші (Послуги медичних лабораторій)</t>
  </si>
  <si>
    <t>61.10.1</t>
  </si>
  <si>
    <t xml:space="preserve">Послуги щодо передавання даних і повідомлень </t>
  </si>
  <si>
    <t>Поточний ремонт актового залу в головному корпусі по вул. Краківска, 13</t>
  </si>
  <si>
    <t>Капітальний ремонт кровлі терапевтичного корпусу по вул. Попудренка, 36</t>
  </si>
  <si>
    <t>23.19.2</t>
  </si>
  <si>
    <t>Скло технічне та інше скло (посуд лабораторний, гігієнічний або фармацевтичний, скляні ампули)</t>
  </si>
  <si>
    <t>17.29.1</t>
  </si>
  <si>
    <t>Вироби паперові та картонні, інші (папір фільтрувальний)</t>
  </si>
  <si>
    <t>32.91.1</t>
  </si>
  <si>
    <t>довідка №27/13 від 25.12.2014</t>
  </si>
  <si>
    <t>Препарати фармацевтичні, інші (марля)</t>
  </si>
  <si>
    <t>довідка №26/13 від 24.12.14, №27/13 від 25.1.14</t>
  </si>
  <si>
    <t>10.73.1</t>
  </si>
  <si>
    <t>Макарони, локшина, кускус і подібні борошняні вироби</t>
  </si>
  <si>
    <t>Кошти спец. фонду місц. бюджет “інші джерела власних надходжень”</t>
  </si>
  <si>
    <t>23.99.1</t>
  </si>
  <si>
    <t>Вироби мінеральні неметалеві, інші, н. в. і. у.</t>
  </si>
  <si>
    <t>25.30.1</t>
  </si>
  <si>
    <t>Парогенератори та їхні частини (тени)</t>
  </si>
  <si>
    <t>27.33.1</t>
  </si>
  <si>
    <t>Пристрої електромонтажні (трійник, автомат захисн., ПВС, розетки, подовжувач)</t>
  </si>
  <si>
    <t>28.14.1</t>
  </si>
  <si>
    <t>Крани, вентилі, клапани та подібні вироби до труб, котлів, резервуарів, цистерн і подібних виробів (кран метелик)</t>
  </si>
  <si>
    <t>22.19.3</t>
  </si>
  <si>
    <t>Труби, трубки та шланги з вулканізованої ґуми (крім виготовлених з твердої ґуми) (шланг)</t>
  </si>
  <si>
    <t>24.42.2</t>
  </si>
  <si>
    <t>Напівфабрикати з алюмінію та алюмінієвих сплавів (труба гофр.)</t>
  </si>
  <si>
    <t>27.31.1</t>
  </si>
  <si>
    <t>Кабелі волоконно-оптичні (каб.кангал)</t>
  </si>
  <si>
    <t>27.11.1</t>
  </si>
  <si>
    <t>Двигуни потужністю не більше ніж 37,5 Вт; двигуни постійного струму, інші; генератори постійного струму</t>
  </si>
  <si>
    <t>14.12.3</t>
  </si>
  <si>
    <t>Одяг робочий, інший (халати, бахіли хірургічні)</t>
  </si>
  <si>
    <t>13.92.1</t>
  </si>
  <si>
    <t>Вироби текстильні готові для домашнього господарства (простирадла, наволочки)</t>
  </si>
  <si>
    <t>27.51.2</t>
  </si>
  <si>
    <t>Прилади електричні побутові, інші, н. в. і. у. (плитка електр)</t>
  </si>
  <si>
    <t>23.12.1</t>
  </si>
  <si>
    <t>Скло листове сформоване та оброблене (пакля)</t>
  </si>
  <si>
    <t>17.12.2</t>
  </si>
  <si>
    <t>Серветки паперові туалетні, серветки для обличчя, рушники, скатертини-серветки, целюлозна вата й полотна з целюлозних волокон</t>
  </si>
  <si>
    <t>23.52.1</t>
  </si>
  <si>
    <t>Вапно негашене, гашене та гідравлічне</t>
  </si>
  <si>
    <t>Продукти хімічні різноманітні (масло дизельне)</t>
  </si>
  <si>
    <t>Проводи та кабелі електронні й електричні, інші</t>
  </si>
  <si>
    <t>27.20.2</t>
  </si>
  <si>
    <t>Акумулятори електричні та частини до них (батарея д/акумулятора)</t>
  </si>
  <si>
    <t>28.15.1</t>
  </si>
  <si>
    <t>Вальниці/підшипники кулькові чи роликові (запчастини до катоплечистки)</t>
  </si>
  <si>
    <t>Тара пластмасова (пакети для сміття)</t>
  </si>
  <si>
    <t>27.40.1</t>
  </si>
  <si>
    <t>Лампи розжарювання та газорозрядні електричні; лампи дугові (лампи бактерицидні, рециркулятори)</t>
  </si>
  <si>
    <t>Сіль харчова (сіль для парогенератора)</t>
  </si>
  <si>
    <t>28.29.8</t>
  </si>
  <si>
    <t>Частини інших машин і устатковання загальної призначеності, н. в. і. у. (запчастини до вогнегасника)</t>
  </si>
  <si>
    <t>25.72.1</t>
  </si>
  <si>
    <t>Замки та завіси (частини до замків, замки)</t>
  </si>
  <si>
    <t>25.73.1</t>
  </si>
  <si>
    <t>Інструменти ручні для використання в сільському господарстві, садівництві чи лісовому господарстві (лопати, граблі)</t>
  </si>
  <si>
    <t>Крани, вентилі, клапани та подібні вироби до труб, котлів, резервуарів, цистерн і подібних виробів (змішувач, сифон)</t>
  </si>
  <si>
    <t>14.19.1</t>
  </si>
  <si>
    <t>Одяг, дитячий, спортивні костюми та інший одяг, аксесуари та деталі одягу, трикотажні (рукавички зах.)</t>
  </si>
  <si>
    <t>Мітли та щітки</t>
  </si>
  <si>
    <t>Інструменти і прилади медичні, хірургічні та стоматологічні (шприци, катетери, зонди, голки, стерилізатор, мікровети)</t>
  </si>
  <si>
    <t>Солі металів галоїдні; гіпохлорити, хлорати й перхлорати (натрію хлорид, калію хлорид, хлоргексидин та інші)</t>
  </si>
  <si>
    <t>Продукти молочні, інші (сметана)</t>
  </si>
  <si>
    <t>Послуги у сфері охорони здоров'я, інші (послуги медичних лабораторій, послуги швидкої медичної допомоги)</t>
  </si>
  <si>
    <t>33.11.1</t>
  </si>
  <si>
    <t>Ремонтування та технічне обслуговування металевих виробів (ремонт парогенератора, перезарядка вогнегасника)</t>
  </si>
  <si>
    <t>Ремонтування та технічне обслуговування машин загальної призначеності (ремонт автоклава,кисневої станції)</t>
  </si>
  <si>
    <t>Ремонтування та технічне обслуговування електронного й оптичного устатковання (вимір.часу, медичного електронного, рентгенапарату)</t>
  </si>
  <si>
    <t>Послуги щодо очищування, інші (прибирання снігу, послуги щодо дезінфікування та винищування шкідників, послуги щодо санітарного обробляння)</t>
  </si>
  <si>
    <t>71.12.1</t>
  </si>
  <si>
    <t>Послуги інженерні (дозвіл на вивезення сміття, технічна інвентаризація)</t>
  </si>
  <si>
    <t>96.03.1</t>
  </si>
  <si>
    <t>Послуги похоронні та суміжні послуги (спалювання біовідходів)</t>
  </si>
  <si>
    <t>27.51.9</t>
  </si>
  <si>
    <t>Роботи субпідрядні як частина виробництва електричних побутових приладів (ремонт картоплечистки)</t>
  </si>
  <si>
    <t>Монтаж водопровідних, каналізаційних, систем опалювання, вентиляції та кондиціювання повітря (т/о модулів, монтаж кондиціонерів)</t>
  </si>
  <si>
    <t>43.29.1</t>
  </si>
  <si>
    <t>Роботи ізоляційні</t>
  </si>
  <si>
    <t>65.12.1</t>
  </si>
  <si>
    <t>Послуги щодо страхування від нещасних випадків і страхування здоров'я</t>
  </si>
  <si>
    <t>38.12.1</t>
  </si>
  <si>
    <t>Збирання небезпечних відходів</t>
  </si>
  <si>
    <t>49.41.1</t>
  </si>
  <si>
    <t>Перевезення вантажів дорожніми транспортними засобами (доставка кисню)</t>
  </si>
  <si>
    <t>85.59.1</t>
  </si>
  <si>
    <t>Послуги освітянські, інші, н. в. і. у.</t>
  </si>
  <si>
    <t>довідка</t>
  </si>
  <si>
    <t>Кошти спец. фонду місц. бюджет “інші надходження”</t>
  </si>
  <si>
    <t>Капітальний ремонт модульних пунктів</t>
  </si>
  <si>
    <t xml:space="preserve">Капітальний ремонт гінекологічного приймального відділення </t>
  </si>
  <si>
    <t>Капітальний ремонт паліативного відділення "Хоспис"</t>
  </si>
  <si>
    <t>Капітальний ремонт фізіотерапічного кабінету в терапевтичному корпусі</t>
  </si>
  <si>
    <t>Підготовка до зими КМКЛ №2</t>
  </si>
  <si>
    <t>25.71.1</t>
  </si>
  <si>
    <t>Вироби ножові та столові прибори</t>
  </si>
  <si>
    <t>17.22.1</t>
  </si>
  <si>
    <t>Папір побутовий і туалетний та паперова продукція</t>
  </si>
  <si>
    <t>13.92.2</t>
  </si>
  <si>
    <t>Вироби текстильні готові, інші</t>
  </si>
  <si>
    <t xml:space="preserve">Голова комітету з конкурсних торгів              </t>
  </si>
  <si>
    <t>Головний лікар</t>
  </si>
  <si>
    <t>А.В. Воронін</t>
  </si>
  <si>
    <t>М.П.</t>
  </si>
  <si>
    <t>Секретар комітету з конкурсних торгів</t>
  </si>
  <si>
    <t>О.Г. Стешенко</t>
  </si>
  <si>
    <t xml:space="preserve">Затверджений рішенням комітету з конкурсних торгів від 20 січня 2014 року N 1. </t>
  </si>
  <si>
    <t xml:space="preserve">     "29.12.2014"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</si>
</sst>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60">
    <font>
      <sz val="10"/>
      <name val="Arial Cyr"/>
      <family val="0"/>
    </font>
    <font>
      <sz val="11"/>
      <color indexed="8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3.5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b/>
      <sz val="18"/>
      <color indexed="56"/>
      <name val="Cambria"/>
      <family val="2"/>
    </font>
    <font>
      <b/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8"/>
      <color theme="3"/>
      <name val="Cambria"/>
      <family val="2"/>
    </font>
    <font>
      <sz val="11"/>
      <color rgb="FF9C6500"/>
      <name val="Tahoma"/>
      <family val="2"/>
    </font>
    <font>
      <sz val="11"/>
      <color rgb="FF9C0006"/>
      <name val="Tahoma"/>
      <family val="2"/>
    </font>
    <font>
      <i/>
      <sz val="11"/>
      <color rgb="FF7F7F7F"/>
      <name val="Tahoma"/>
      <family val="2"/>
    </font>
    <font>
      <sz val="11"/>
      <color rgb="FFFA7D00"/>
      <name val="Tahoma"/>
      <family val="2"/>
    </font>
    <font>
      <sz val="11"/>
      <color rgb="FFFF0000"/>
      <name val="Tahoma"/>
      <family val="2"/>
    </font>
    <font>
      <sz val="11"/>
      <color rgb="FF006100"/>
      <name val="Tahoma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 wrapText="1"/>
    </xf>
    <xf numFmtId="4" fontId="8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0" fontId="13" fillId="33" borderId="12" xfId="0" applyFont="1" applyFill="1" applyBorder="1" applyAlignment="1">
      <alignment vertical="top" wrapText="1"/>
    </xf>
    <xf numFmtId="4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5" fillId="33" borderId="11" xfId="0" applyFont="1" applyFill="1" applyBorder="1" applyAlignment="1">
      <alignment vertical="top" wrapText="1"/>
    </xf>
    <xf numFmtId="0" fontId="3" fillId="0" borderId="12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4" fontId="2" fillId="0" borderId="12" xfId="0" applyNumberFormat="1" applyFont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2" fontId="3" fillId="0" borderId="12" xfId="0" applyNumberFormat="1" applyFont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0" fontId="5" fillId="33" borderId="12" xfId="0" applyFont="1" applyFill="1" applyBorder="1" applyAlignment="1">
      <alignment vertical="top" wrapText="1"/>
    </xf>
    <xf numFmtId="4" fontId="3" fillId="0" borderId="12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justify" vertical="top" wrapText="1"/>
    </xf>
    <xf numFmtId="4" fontId="2" fillId="0" borderId="0" xfId="0" applyNumberFormat="1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4" fontId="53" fillId="0" borderId="12" xfId="0" applyNumberFormat="1" applyFont="1" applyBorder="1" applyAlignment="1">
      <alignment horizontal="center" vertical="center" wrapText="1"/>
    </xf>
    <xf numFmtId="4" fontId="53" fillId="0" borderId="11" xfId="0" applyNumberFormat="1" applyFont="1" applyBorder="1" applyAlignment="1">
      <alignment horizontal="center" vertical="center" wrapText="1"/>
    </xf>
    <xf numFmtId="0" fontId="54" fillId="0" borderId="12" xfId="48" applyFont="1" applyBorder="1" applyAlignment="1">
      <alignment horizontal="left" vertical="top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0" fontId="56" fillId="0" borderId="12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top" wrapText="1"/>
    </xf>
    <xf numFmtId="4" fontId="2" fillId="34" borderId="11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left" vertical="center" wrapText="1"/>
    </xf>
    <xf numFmtId="49" fontId="3" fillId="34" borderId="12" xfId="0" applyNumberFormat="1" applyFont="1" applyFill="1" applyBorder="1" applyAlignment="1">
      <alignment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vertical="center" wrapText="1"/>
    </xf>
    <xf numFmtId="49" fontId="2" fillId="34" borderId="11" xfId="0" applyNumberFormat="1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left" vertical="center" wrapText="1"/>
    </xf>
    <xf numFmtId="0" fontId="57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4" fontId="58" fillId="0" borderId="0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vertical="top" wrapText="1"/>
    </xf>
    <xf numFmtId="0" fontId="5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57" fillId="34" borderId="15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vertical="top" wrapText="1"/>
    </xf>
    <xf numFmtId="0" fontId="58" fillId="0" borderId="0" xfId="0" applyFont="1" applyBorder="1" applyAlignment="1">
      <alignment/>
    </xf>
    <xf numFmtId="0" fontId="58" fillId="0" borderId="16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59" fillId="0" borderId="0" xfId="0" applyFont="1" applyAlignment="1">
      <alignment horizontal="right"/>
    </xf>
    <xf numFmtId="0" fontId="1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7" fillId="0" borderId="0" xfId="0" applyNumberFormat="1" applyFont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9"/>
  <sheetViews>
    <sheetView tabSelected="1" view="pageBreakPreview" zoomScaleSheetLayoutView="100" workbookViewId="0" topLeftCell="A124">
      <selection activeCell="D38" sqref="D38"/>
    </sheetView>
  </sheetViews>
  <sheetFormatPr defaultColWidth="9.00390625" defaultRowHeight="12.75"/>
  <cols>
    <col min="1" max="1" width="10.25390625" style="1" customWidth="1"/>
    <col min="2" max="2" width="40.875" style="2" customWidth="1"/>
    <col min="3" max="3" width="9.375" style="3" customWidth="1"/>
    <col min="4" max="4" width="15.625" style="4" customWidth="1"/>
    <col min="5" max="5" width="11.125" style="3" customWidth="1"/>
    <col min="6" max="6" width="13.625" style="3" customWidth="1"/>
    <col min="7" max="7" width="11.375" style="8" customWidth="1"/>
    <col min="8" max="8" width="13.00390625" style="4" customWidth="1"/>
    <col min="9" max="9" width="26.125" style="6" customWidth="1"/>
    <col min="10" max="16384" width="9.125" style="6" customWidth="1"/>
  </cols>
  <sheetData>
    <row r="1" ht="15.75">
      <c r="G1" s="5" t="s">
        <v>0</v>
      </c>
    </row>
    <row r="2" ht="15.75">
      <c r="E2" s="7" t="s">
        <v>1</v>
      </c>
    </row>
    <row r="3" ht="15.75">
      <c r="E3" s="7" t="s">
        <v>2</v>
      </c>
    </row>
    <row r="4" spans="1:9" ht="20.25">
      <c r="A4" s="124" t="s">
        <v>3</v>
      </c>
      <c r="B4" s="124"/>
      <c r="C4" s="124"/>
      <c r="D4" s="124"/>
      <c r="E4" s="124"/>
      <c r="F4" s="124"/>
      <c r="G4" s="124"/>
      <c r="H4" s="9"/>
      <c r="I4" s="10"/>
    </row>
    <row r="5" spans="1:9" ht="17.25" hidden="1">
      <c r="A5" s="125" t="s">
        <v>4</v>
      </c>
      <c r="B5" s="125"/>
      <c r="C5" s="125"/>
      <c r="D5" s="125"/>
      <c r="E5" s="125"/>
      <c r="F5" s="125"/>
      <c r="G5" s="125"/>
      <c r="H5" s="11"/>
      <c r="I5" s="11"/>
    </row>
    <row r="6" spans="1:9" ht="18.75">
      <c r="A6" s="12"/>
      <c r="B6" s="13"/>
      <c r="C6" s="14"/>
      <c r="D6" s="15"/>
      <c r="E6" s="14"/>
      <c r="F6" s="14"/>
      <c r="G6" s="16"/>
      <c r="H6" s="15"/>
      <c r="I6" s="17"/>
    </row>
    <row r="7" spans="1:9" ht="15.75">
      <c r="A7" s="126" t="s">
        <v>5</v>
      </c>
      <c r="B7" s="127"/>
      <c r="C7" s="130" t="s">
        <v>6</v>
      </c>
      <c r="D7" s="132" t="s">
        <v>7</v>
      </c>
      <c r="E7" s="134" t="s">
        <v>8</v>
      </c>
      <c r="F7" s="134" t="s">
        <v>9</v>
      </c>
      <c r="G7" s="121" t="s">
        <v>10</v>
      </c>
      <c r="H7" s="122"/>
      <c r="I7" s="123"/>
    </row>
    <row r="8" spans="1:9" ht="78.75">
      <c r="A8" s="128"/>
      <c r="B8" s="129"/>
      <c r="C8" s="131"/>
      <c r="D8" s="133"/>
      <c r="E8" s="135"/>
      <c r="F8" s="135"/>
      <c r="G8" s="18"/>
      <c r="H8" s="21" t="s">
        <v>11</v>
      </c>
      <c r="I8" s="22" t="s">
        <v>12</v>
      </c>
    </row>
    <row r="9" spans="1:9" ht="15.75">
      <c r="A9" s="120">
        <v>1</v>
      </c>
      <c r="B9" s="120"/>
      <c r="C9" s="23">
        <v>2</v>
      </c>
      <c r="D9" s="24">
        <v>3</v>
      </c>
      <c r="E9" s="23">
        <v>4</v>
      </c>
      <c r="F9" s="23">
        <v>5</v>
      </c>
      <c r="G9" s="121">
        <v>6</v>
      </c>
      <c r="H9" s="122"/>
      <c r="I9" s="123"/>
    </row>
    <row r="10" spans="1:9" ht="25.5">
      <c r="A10" s="30" t="s">
        <v>13</v>
      </c>
      <c r="B10" s="32" t="s">
        <v>19</v>
      </c>
      <c r="C10" s="33">
        <v>2220</v>
      </c>
      <c r="D10" s="20">
        <v>1680.56</v>
      </c>
      <c r="E10" s="27" t="s">
        <v>15</v>
      </c>
      <c r="F10" s="33"/>
      <c r="G10" s="28" t="s">
        <v>20</v>
      </c>
      <c r="H10" s="20"/>
      <c r="I10" s="29" t="s">
        <v>16</v>
      </c>
    </row>
    <row r="11" spans="1:9" ht="25.5" customHeight="1">
      <c r="A11" s="30" t="s">
        <v>21</v>
      </c>
      <c r="B11" s="32" t="s">
        <v>22</v>
      </c>
      <c r="C11" s="33">
        <v>2220</v>
      </c>
      <c r="D11" s="20">
        <f>16195.28</f>
        <v>16195.28</v>
      </c>
      <c r="E11" s="27" t="s">
        <v>15</v>
      </c>
      <c r="F11" s="33"/>
      <c r="G11" s="28" t="s">
        <v>20</v>
      </c>
      <c r="H11" s="34"/>
      <c r="I11" s="29" t="s">
        <v>16</v>
      </c>
    </row>
    <row r="12" spans="1:9" ht="30" customHeight="1">
      <c r="A12" s="30" t="s">
        <v>23</v>
      </c>
      <c r="B12" s="32" t="s">
        <v>24</v>
      </c>
      <c r="C12" s="33">
        <v>2220</v>
      </c>
      <c r="D12" s="20">
        <f>1840</f>
        <v>1840</v>
      </c>
      <c r="E12" s="27" t="s">
        <v>15</v>
      </c>
      <c r="F12" s="33"/>
      <c r="G12" s="28" t="s">
        <v>20</v>
      </c>
      <c r="H12" s="34"/>
      <c r="I12" s="29" t="s">
        <v>16</v>
      </c>
    </row>
    <row r="13" spans="1:9" ht="27" customHeight="1">
      <c r="A13" s="30" t="s">
        <v>25</v>
      </c>
      <c r="B13" s="32" t="s">
        <v>26</v>
      </c>
      <c r="C13" s="33">
        <v>2220</v>
      </c>
      <c r="D13" s="20">
        <v>2932.449999999997</v>
      </c>
      <c r="E13" s="27" t="s">
        <v>15</v>
      </c>
      <c r="F13" s="33"/>
      <c r="G13" s="28" t="s">
        <v>20</v>
      </c>
      <c r="H13" s="34"/>
      <c r="I13" s="29" t="s">
        <v>16</v>
      </c>
    </row>
    <row r="14" spans="1:9" ht="38.25">
      <c r="A14" s="30" t="s">
        <v>27</v>
      </c>
      <c r="B14" s="32" t="s">
        <v>28</v>
      </c>
      <c r="C14" s="33">
        <v>2220</v>
      </c>
      <c r="D14" s="20">
        <f>8507.48+7543.75+66312.11</f>
        <v>82363.34</v>
      </c>
      <c r="E14" s="27" t="s">
        <v>15</v>
      </c>
      <c r="F14" s="33"/>
      <c r="G14" s="28" t="s">
        <v>20</v>
      </c>
      <c r="H14" s="34"/>
      <c r="I14" s="29" t="s">
        <v>16</v>
      </c>
    </row>
    <row r="15" spans="1:9" ht="38.25">
      <c r="A15" s="30" t="s">
        <v>29</v>
      </c>
      <c r="B15" s="32" t="s">
        <v>30</v>
      </c>
      <c r="C15" s="33">
        <v>2220</v>
      </c>
      <c r="D15" s="20">
        <v>15160</v>
      </c>
      <c r="E15" s="27" t="s">
        <v>15</v>
      </c>
      <c r="F15" s="33"/>
      <c r="G15" s="28" t="s">
        <v>20</v>
      </c>
      <c r="H15" s="34"/>
      <c r="I15" s="29" t="s">
        <v>16</v>
      </c>
    </row>
    <row r="16" spans="1:9" ht="51">
      <c r="A16" s="30" t="s">
        <v>31</v>
      </c>
      <c r="B16" s="32" t="s">
        <v>32</v>
      </c>
      <c r="C16" s="33">
        <v>2220</v>
      </c>
      <c r="D16" s="20">
        <v>8880</v>
      </c>
      <c r="E16" s="27" t="s">
        <v>15</v>
      </c>
      <c r="F16" s="33"/>
      <c r="G16" s="28" t="s">
        <v>20</v>
      </c>
      <c r="H16" s="34"/>
      <c r="I16" s="29" t="s">
        <v>16</v>
      </c>
    </row>
    <row r="17" spans="1:9" ht="38.25">
      <c r="A17" s="30" t="s">
        <v>33</v>
      </c>
      <c r="B17" s="32" t="s">
        <v>34</v>
      </c>
      <c r="C17" s="33">
        <v>2220</v>
      </c>
      <c r="D17" s="20">
        <v>1122</v>
      </c>
      <c r="E17" s="27" t="s">
        <v>15</v>
      </c>
      <c r="F17" s="33"/>
      <c r="G17" s="28" t="s">
        <v>20</v>
      </c>
      <c r="H17" s="34"/>
      <c r="I17" s="29" t="s">
        <v>16</v>
      </c>
    </row>
    <row r="18" spans="1:9" ht="25.5">
      <c r="A18" s="30" t="s">
        <v>35</v>
      </c>
      <c r="B18" s="32" t="s">
        <v>36</v>
      </c>
      <c r="C18" s="33">
        <v>2220</v>
      </c>
      <c r="D18" s="20">
        <f>14339.51+678+3319</f>
        <v>18336.510000000002</v>
      </c>
      <c r="E18" s="27" t="s">
        <v>15</v>
      </c>
      <c r="F18" s="33"/>
      <c r="G18" s="28" t="s">
        <v>20</v>
      </c>
      <c r="H18" s="34"/>
      <c r="I18" s="29" t="s">
        <v>16</v>
      </c>
    </row>
    <row r="19" spans="1:9" ht="25.5">
      <c r="A19" s="30" t="s">
        <v>37</v>
      </c>
      <c r="B19" s="32" t="s">
        <v>38</v>
      </c>
      <c r="C19" s="33">
        <v>2220</v>
      </c>
      <c r="D19" s="20">
        <v>930.6</v>
      </c>
      <c r="E19" s="27" t="s">
        <v>15</v>
      </c>
      <c r="F19" s="33"/>
      <c r="G19" s="28" t="s">
        <v>20</v>
      </c>
      <c r="H19" s="34"/>
      <c r="I19" s="29" t="s">
        <v>16</v>
      </c>
    </row>
    <row r="20" spans="1:9" ht="22.5">
      <c r="A20" s="30" t="s">
        <v>39</v>
      </c>
      <c r="B20" s="32" t="s">
        <v>40</v>
      </c>
      <c r="C20" s="33">
        <v>2220</v>
      </c>
      <c r="D20" s="20">
        <v>4775.79</v>
      </c>
      <c r="E20" s="27" t="s">
        <v>15</v>
      </c>
      <c r="F20" s="33"/>
      <c r="G20" s="28" t="s">
        <v>20</v>
      </c>
      <c r="H20" s="34"/>
      <c r="I20" s="29" t="s">
        <v>16</v>
      </c>
    </row>
    <row r="21" spans="1:9" ht="38.25">
      <c r="A21" s="30" t="s">
        <v>41</v>
      </c>
      <c r="B21" s="32" t="s">
        <v>42</v>
      </c>
      <c r="C21" s="33">
        <v>2220</v>
      </c>
      <c r="D21" s="20">
        <f>8850+6594.24+460</f>
        <v>15904.24</v>
      </c>
      <c r="E21" s="27" t="s">
        <v>15</v>
      </c>
      <c r="F21" s="33"/>
      <c r="G21" s="28" t="s">
        <v>20</v>
      </c>
      <c r="H21" s="34"/>
      <c r="I21" s="29" t="s">
        <v>16</v>
      </c>
    </row>
    <row r="22" spans="1:9" ht="22.5">
      <c r="A22" s="30" t="s">
        <v>43</v>
      </c>
      <c r="B22" s="32" t="s">
        <v>44</v>
      </c>
      <c r="C22" s="33">
        <v>2220</v>
      </c>
      <c r="D22" s="20">
        <f>37836.47+627.68</f>
        <v>38464.15</v>
      </c>
      <c r="E22" s="27" t="s">
        <v>15</v>
      </c>
      <c r="F22" s="33"/>
      <c r="G22" s="28" t="s">
        <v>20</v>
      </c>
      <c r="H22" s="34"/>
      <c r="I22" s="29" t="s">
        <v>16</v>
      </c>
    </row>
    <row r="23" spans="1:9" ht="38.25">
      <c r="A23" s="30" t="s">
        <v>45</v>
      </c>
      <c r="B23" s="32" t="s">
        <v>46</v>
      </c>
      <c r="C23" s="33">
        <v>2220</v>
      </c>
      <c r="D23" s="20">
        <v>32376.960000000003</v>
      </c>
      <c r="E23" s="27" t="s">
        <v>15</v>
      </c>
      <c r="F23" s="33"/>
      <c r="G23" s="28" t="s">
        <v>20</v>
      </c>
      <c r="H23" s="34"/>
      <c r="I23" s="29" t="s">
        <v>16</v>
      </c>
    </row>
    <row r="24" spans="1:9" ht="38.25">
      <c r="A24" s="30" t="s">
        <v>27</v>
      </c>
      <c r="B24" s="32" t="s">
        <v>47</v>
      </c>
      <c r="C24" s="33">
        <v>2220</v>
      </c>
      <c r="D24" s="20">
        <v>70218.9</v>
      </c>
      <c r="E24" s="27" t="s">
        <v>15</v>
      </c>
      <c r="F24" s="33"/>
      <c r="G24" s="28" t="s">
        <v>20</v>
      </c>
      <c r="H24" s="34"/>
      <c r="I24" s="29" t="s">
        <v>16</v>
      </c>
    </row>
    <row r="25" spans="1:9" ht="25.5">
      <c r="A25" s="30" t="s">
        <v>48</v>
      </c>
      <c r="B25" s="32" t="s">
        <v>49</v>
      </c>
      <c r="C25" s="33">
        <v>2220</v>
      </c>
      <c r="D25" s="20">
        <v>4185.5</v>
      </c>
      <c r="E25" s="27" t="s">
        <v>15</v>
      </c>
      <c r="F25" s="33"/>
      <c r="G25" s="28" t="s">
        <v>20</v>
      </c>
      <c r="H25" s="34"/>
      <c r="I25" s="29" t="s">
        <v>16</v>
      </c>
    </row>
    <row r="26" spans="1:9" ht="25.5">
      <c r="A26" s="30" t="s">
        <v>50</v>
      </c>
      <c r="B26" s="32" t="s">
        <v>51</v>
      </c>
      <c r="C26" s="33">
        <v>2220</v>
      </c>
      <c r="D26" s="20">
        <f>12007.5</f>
        <v>12007.5</v>
      </c>
      <c r="E26" s="27" t="s">
        <v>15</v>
      </c>
      <c r="F26" s="33"/>
      <c r="G26" s="28" t="s">
        <v>20</v>
      </c>
      <c r="H26" s="34"/>
      <c r="I26" s="29" t="s">
        <v>16</v>
      </c>
    </row>
    <row r="27" spans="1:9" ht="31.5">
      <c r="A27" s="35" t="s">
        <v>52</v>
      </c>
      <c r="B27" s="36" t="s">
        <v>53</v>
      </c>
      <c r="C27" s="37">
        <v>2230</v>
      </c>
      <c r="D27" s="38">
        <v>17371.179999999997</v>
      </c>
      <c r="E27" s="27" t="s">
        <v>15</v>
      </c>
      <c r="F27" s="37"/>
      <c r="G27" s="28" t="s">
        <v>20</v>
      </c>
      <c r="H27" s="39"/>
      <c r="I27" s="40" t="s">
        <v>16</v>
      </c>
    </row>
    <row r="28" spans="1:9" ht="15.75">
      <c r="A28" s="35" t="s">
        <v>54</v>
      </c>
      <c r="B28" s="36" t="s">
        <v>55</v>
      </c>
      <c r="C28" s="37">
        <v>2230</v>
      </c>
      <c r="D28" s="41">
        <f>52874.03-35015</f>
        <v>17859.03</v>
      </c>
      <c r="E28" s="27" t="s">
        <v>15</v>
      </c>
      <c r="F28" s="37"/>
      <c r="G28" s="28"/>
      <c r="H28" s="41"/>
      <c r="I28" s="40" t="s">
        <v>16</v>
      </c>
    </row>
    <row r="29" spans="1:9" ht="22.5">
      <c r="A29" s="35" t="s">
        <v>56</v>
      </c>
      <c r="B29" s="36" t="s">
        <v>57</v>
      </c>
      <c r="C29" s="37">
        <v>2230</v>
      </c>
      <c r="D29" s="41">
        <v>4896.6</v>
      </c>
      <c r="E29" s="27" t="s">
        <v>15</v>
      </c>
      <c r="F29" s="37"/>
      <c r="G29" s="28" t="s">
        <v>20</v>
      </c>
      <c r="H29" s="39"/>
      <c r="I29" s="40" t="s">
        <v>16</v>
      </c>
    </row>
    <row r="30" spans="1:9" ht="47.25">
      <c r="A30" s="35" t="s">
        <v>58</v>
      </c>
      <c r="B30" s="36" t="s">
        <v>59</v>
      </c>
      <c r="C30" s="37">
        <v>2230</v>
      </c>
      <c r="D30" s="41">
        <v>10290</v>
      </c>
      <c r="E30" s="27" t="s">
        <v>15</v>
      </c>
      <c r="F30" s="37"/>
      <c r="G30" s="28" t="s">
        <v>20</v>
      </c>
      <c r="H30" s="39"/>
      <c r="I30" s="40" t="s">
        <v>16</v>
      </c>
    </row>
    <row r="31" spans="1:9" ht="22.5">
      <c r="A31" s="35" t="s">
        <v>60</v>
      </c>
      <c r="B31" s="36" t="s">
        <v>61</v>
      </c>
      <c r="C31" s="37">
        <v>2230</v>
      </c>
      <c r="D31" s="41">
        <v>4158.080000000001</v>
      </c>
      <c r="E31" s="27" t="s">
        <v>15</v>
      </c>
      <c r="F31" s="37"/>
      <c r="G31" s="28" t="s">
        <v>20</v>
      </c>
      <c r="H31" s="39"/>
      <c r="I31" s="40" t="s">
        <v>16</v>
      </c>
    </row>
    <row r="32" spans="1:9" ht="31.5">
      <c r="A32" s="35" t="s">
        <v>62</v>
      </c>
      <c r="B32" s="36" t="s">
        <v>63</v>
      </c>
      <c r="C32" s="37">
        <v>2230</v>
      </c>
      <c r="D32" s="41">
        <v>2250</v>
      </c>
      <c r="E32" s="27" t="s">
        <v>15</v>
      </c>
      <c r="F32" s="37"/>
      <c r="G32" s="28" t="s">
        <v>20</v>
      </c>
      <c r="H32" s="39"/>
      <c r="I32" s="40" t="s">
        <v>16</v>
      </c>
    </row>
    <row r="33" spans="1:9" ht="22.5">
      <c r="A33" s="35" t="s">
        <v>64</v>
      </c>
      <c r="B33" s="36" t="s">
        <v>65</v>
      </c>
      <c r="C33" s="37">
        <v>2230</v>
      </c>
      <c r="D33" s="41">
        <v>484.5</v>
      </c>
      <c r="E33" s="27" t="s">
        <v>15</v>
      </c>
      <c r="F33" s="37"/>
      <c r="G33" s="28" t="s">
        <v>20</v>
      </c>
      <c r="H33" s="39"/>
      <c r="I33" s="40" t="s">
        <v>16</v>
      </c>
    </row>
    <row r="34" spans="1:9" ht="22.5">
      <c r="A34" s="35" t="s">
        <v>66</v>
      </c>
      <c r="B34" s="36" t="s">
        <v>67</v>
      </c>
      <c r="C34" s="37">
        <v>2230</v>
      </c>
      <c r="D34" s="41">
        <v>12480</v>
      </c>
      <c r="E34" s="27" t="s">
        <v>15</v>
      </c>
      <c r="F34" s="37"/>
      <c r="G34" s="28" t="s">
        <v>20</v>
      </c>
      <c r="H34" s="39"/>
      <c r="I34" s="40" t="s">
        <v>16</v>
      </c>
    </row>
    <row r="35" spans="1:9" ht="47.25">
      <c r="A35" s="35" t="s">
        <v>68</v>
      </c>
      <c r="B35" s="36" t="s">
        <v>69</v>
      </c>
      <c r="C35" s="37">
        <v>2230</v>
      </c>
      <c r="D35" s="41">
        <v>15438.779999999999</v>
      </c>
      <c r="E35" s="27" t="s">
        <v>15</v>
      </c>
      <c r="F35" s="37"/>
      <c r="G35" s="28" t="s">
        <v>20</v>
      </c>
      <c r="H35" s="39"/>
      <c r="I35" s="40" t="s">
        <v>16</v>
      </c>
    </row>
    <row r="36" spans="1:9" ht="47.25">
      <c r="A36" s="35" t="s">
        <v>70</v>
      </c>
      <c r="B36" s="36" t="s">
        <v>71</v>
      </c>
      <c r="C36" s="37">
        <v>2230</v>
      </c>
      <c r="D36" s="41">
        <v>15978</v>
      </c>
      <c r="E36" s="27" t="s">
        <v>15</v>
      </c>
      <c r="F36" s="37"/>
      <c r="G36" s="28" t="s">
        <v>20</v>
      </c>
      <c r="H36" s="39"/>
      <c r="I36" s="40" t="s">
        <v>16</v>
      </c>
    </row>
    <row r="37" spans="1:9" ht="31.5">
      <c r="A37" s="35" t="s">
        <v>72</v>
      </c>
      <c r="B37" s="36" t="s">
        <v>73</v>
      </c>
      <c r="C37" s="37">
        <v>2230</v>
      </c>
      <c r="D37" s="41">
        <v>5905.960000000001</v>
      </c>
      <c r="E37" s="27" t="s">
        <v>15</v>
      </c>
      <c r="F37" s="37"/>
      <c r="G37" s="28" t="s">
        <v>20</v>
      </c>
      <c r="H37" s="39"/>
      <c r="I37" s="40" t="s">
        <v>16</v>
      </c>
    </row>
    <row r="38" spans="1:9" ht="47.25">
      <c r="A38" s="35" t="s">
        <v>74</v>
      </c>
      <c r="B38" s="36" t="s">
        <v>75</v>
      </c>
      <c r="C38" s="37">
        <v>2230</v>
      </c>
      <c r="D38" s="41">
        <v>477.4000000000001</v>
      </c>
      <c r="E38" s="27" t="s">
        <v>15</v>
      </c>
      <c r="F38" s="37"/>
      <c r="G38" s="28" t="s">
        <v>20</v>
      </c>
      <c r="H38" s="39"/>
      <c r="I38" s="40" t="s">
        <v>16</v>
      </c>
    </row>
    <row r="39" spans="1:9" ht="22.5">
      <c r="A39" s="35" t="s">
        <v>76</v>
      </c>
      <c r="B39" s="36" t="s">
        <v>77</v>
      </c>
      <c r="C39" s="37">
        <v>2230</v>
      </c>
      <c r="D39" s="41">
        <v>1650</v>
      </c>
      <c r="E39" s="27" t="s">
        <v>15</v>
      </c>
      <c r="F39" s="37"/>
      <c r="G39" s="28" t="s">
        <v>20</v>
      </c>
      <c r="H39" s="39"/>
      <c r="I39" s="40" t="s">
        <v>16</v>
      </c>
    </row>
    <row r="40" spans="1:9" ht="22.5">
      <c r="A40" s="35" t="s">
        <v>78</v>
      </c>
      <c r="B40" s="36" t="s">
        <v>79</v>
      </c>
      <c r="C40" s="37">
        <v>2230</v>
      </c>
      <c r="D40" s="41">
        <v>8814</v>
      </c>
      <c r="E40" s="27" t="s">
        <v>15</v>
      </c>
      <c r="F40" s="37"/>
      <c r="G40" s="28" t="s">
        <v>20</v>
      </c>
      <c r="H40" s="39"/>
      <c r="I40" s="40" t="s">
        <v>16</v>
      </c>
    </row>
    <row r="41" spans="1:9" ht="22.5">
      <c r="A41" s="35" t="s">
        <v>80</v>
      </c>
      <c r="B41" s="36" t="s">
        <v>81</v>
      </c>
      <c r="C41" s="37">
        <v>2230</v>
      </c>
      <c r="D41" s="41">
        <v>4860</v>
      </c>
      <c r="E41" s="27" t="s">
        <v>15</v>
      </c>
      <c r="F41" s="37"/>
      <c r="G41" s="28" t="s">
        <v>20</v>
      </c>
      <c r="H41" s="39"/>
      <c r="I41" s="40" t="s">
        <v>16</v>
      </c>
    </row>
    <row r="42" spans="1:9" ht="22.5">
      <c r="A42" s="35" t="s">
        <v>82</v>
      </c>
      <c r="B42" s="36" t="s">
        <v>83</v>
      </c>
      <c r="C42" s="37">
        <v>2230</v>
      </c>
      <c r="D42" s="41">
        <v>6956</v>
      </c>
      <c r="E42" s="27" t="s">
        <v>15</v>
      </c>
      <c r="F42" s="37"/>
      <c r="G42" s="28" t="s">
        <v>20</v>
      </c>
      <c r="H42" s="39"/>
      <c r="I42" s="40" t="s">
        <v>16</v>
      </c>
    </row>
    <row r="43" spans="1:9" ht="31.5">
      <c r="A43" s="35" t="s">
        <v>84</v>
      </c>
      <c r="B43" s="36" t="s">
        <v>85</v>
      </c>
      <c r="C43" s="37">
        <v>2230</v>
      </c>
      <c r="D43" s="41">
        <f>16659.19-7888.92</f>
        <v>8770.269999999999</v>
      </c>
      <c r="E43" s="27" t="s">
        <v>15</v>
      </c>
      <c r="F43" s="37"/>
      <c r="G43" s="28"/>
      <c r="H43" s="39"/>
      <c r="I43" s="40" t="s">
        <v>16</v>
      </c>
    </row>
    <row r="44" spans="1:9" ht="22.5">
      <c r="A44" s="35" t="s">
        <v>86</v>
      </c>
      <c r="B44" s="36" t="s">
        <v>87</v>
      </c>
      <c r="C44" s="37">
        <v>2230</v>
      </c>
      <c r="D44" s="41">
        <v>3062.83</v>
      </c>
      <c r="E44" s="27" t="s">
        <v>15</v>
      </c>
      <c r="F44" s="37"/>
      <c r="G44" s="28" t="s">
        <v>20</v>
      </c>
      <c r="H44" s="39"/>
      <c r="I44" s="40" t="s">
        <v>16</v>
      </c>
    </row>
    <row r="45" spans="1:9" ht="47.25">
      <c r="A45" s="35" t="s">
        <v>88</v>
      </c>
      <c r="B45" s="36" t="s">
        <v>89</v>
      </c>
      <c r="C45" s="37">
        <v>2230</v>
      </c>
      <c r="D45" s="41">
        <v>11016.689999999999</v>
      </c>
      <c r="E45" s="27" t="s">
        <v>15</v>
      </c>
      <c r="F45" s="37"/>
      <c r="G45" s="28" t="s">
        <v>20</v>
      </c>
      <c r="H45" s="39"/>
      <c r="I45" s="40" t="s">
        <v>16</v>
      </c>
    </row>
    <row r="46" spans="1:9" ht="22.5">
      <c r="A46" s="35" t="s">
        <v>90</v>
      </c>
      <c r="B46" s="36" t="s">
        <v>91</v>
      </c>
      <c r="C46" s="37">
        <v>2230</v>
      </c>
      <c r="D46" s="41">
        <v>614</v>
      </c>
      <c r="E46" s="27" t="s">
        <v>15</v>
      </c>
      <c r="F46" s="37"/>
      <c r="G46" s="28" t="s">
        <v>20</v>
      </c>
      <c r="H46" s="39"/>
      <c r="I46" s="40" t="s">
        <v>16</v>
      </c>
    </row>
    <row r="47" spans="1:9" ht="31.5">
      <c r="A47" s="35" t="s">
        <v>92</v>
      </c>
      <c r="B47" s="36" t="s">
        <v>93</v>
      </c>
      <c r="C47" s="37">
        <v>2230</v>
      </c>
      <c r="D47" s="41">
        <v>19428.079999999994</v>
      </c>
      <c r="E47" s="27" t="s">
        <v>15</v>
      </c>
      <c r="F47" s="37"/>
      <c r="G47" s="28" t="s">
        <v>20</v>
      </c>
      <c r="H47" s="39"/>
      <c r="I47" s="40" t="s">
        <v>16</v>
      </c>
    </row>
    <row r="48" spans="1:9" ht="47.25">
      <c r="A48" s="35" t="s">
        <v>94</v>
      </c>
      <c r="B48" s="36" t="s">
        <v>95</v>
      </c>
      <c r="C48" s="37">
        <v>2230</v>
      </c>
      <c r="D48" s="41">
        <v>4320</v>
      </c>
      <c r="E48" s="27" t="s">
        <v>15</v>
      </c>
      <c r="F48" s="37"/>
      <c r="G48" s="28" t="s">
        <v>20</v>
      </c>
      <c r="H48" s="39"/>
      <c r="I48" s="40" t="s">
        <v>16</v>
      </c>
    </row>
    <row r="49" spans="1:9" ht="31.5">
      <c r="A49" s="35" t="s">
        <v>96</v>
      </c>
      <c r="B49" s="36" t="s">
        <v>97</v>
      </c>
      <c r="C49" s="37">
        <v>2230</v>
      </c>
      <c r="D49" s="41">
        <v>6998</v>
      </c>
      <c r="E49" s="27" t="s">
        <v>15</v>
      </c>
      <c r="F49" s="37"/>
      <c r="G49" s="28" t="s">
        <v>20</v>
      </c>
      <c r="H49" s="39"/>
      <c r="I49" s="40" t="s">
        <v>16</v>
      </c>
    </row>
    <row r="50" spans="1:9" ht="31.5">
      <c r="A50" s="22" t="s">
        <v>104</v>
      </c>
      <c r="B50" s="45" t="s">
        <v>105</v>
      </c>
      <c r="C50" s="22">
        <v>2271</v>
      </c>
      <c r="D50" s="46">
        <v>360714</v>
      </c>
      <c r="E50" s="27" t="s">
        <v>15</v>
      </c>
      <c r="F50" s="22"/>
      <c r="G50" s="28" t="s">
        <v>20</v>
      </c>
      <c r="H50" s="22"/>
      <c r="I50" s="40" t="s">
        <v>16</v>
      </c>
    </row>
    <row r="51" spans="1:9" ht="31.5">
      <c r="A51" s="22" t="s">
        <v>106</v>
      </c>
      <c r="B51" s="45" t="s">
        <v>107</v>
      </c>
      <c r="C51" s="22">
        <v>2272</v>
      </c>
      <c r="D51" s="46">
        <v>31993.49</v>
      </c>
      <c r="E51" s="27" t="s">
        <v>15</v>
      </c>
      <c r="F51" s="22"/>
      <c r="G51" s="28" t="s">
        <v>20</v>
      </c>
      <c r="H51" s="22"/>
      <c r="I51" s="40" t="s">
        <v>16</v>
      </c>
    </row>
    <row r="52" spans="1:9" ht="22.5">
      <c r="A52" s="22" t="s">
        <v>108</v>
      </c>
      <c r="B52" s="45" t="s">
        <v>109</v>
      </c>
      <c r="C52" s="22">
        <v>2273</v>
      </c>
      <c r="D52" s="46">
        <v>172106.29</v>
      </c>
      <c r="E52" s="27" t="s">
        <v>15</v>
      </c>
      <c r="F52" s="22"/>
      <c r="G52" s="28" t="s">
        <v>20</v>
      </c>
      <c r="H52" s="22"/>
      <c r="I52" s="40" t="s">
        <v>16</v>
      </c>
    </row>
    <row r="53" spans="1:9" ht="33.75">
      <c r="A53" s="30" t="s">
        <v>17</v>
      </c>
      <c r="B53" s="31" t="s">
        <v>18</v>
      </c>
      <c r="C53" s="27">
        <v>2210</v>
      </c>
      <c r="D53" s="20">
        <f>4970-4880</f>
        <v>90</v>
      </c>
      <c r="E53" s="27" t="s">
        <v>15</v>
      </c>
      <c r="F53" s="27" t="s">
        <v>110</v>
      </c>
      <c r="G53" s="28" t="s">
        <v>111</v>
      </c>
      <c r="H53" s="20">
        <v>-4880</v>
      </c>
      <c r="I53" s="29" t="s">
        <v>16</v>
      </c>
    </row>
    <row r="54" spans="1:9" ht="47.25">
      <c r="A54" s="25" t="s">
        <v>112</v>
      </c>
      <c r="B54" s="26" t="s">
        <v>113</v>
      </c>
      <c r="C54" s="27">
        <v>2240</v>
      </c>
      <c r="D54" s="20">
        <f>12104.91-7529.91</f>
        <v>4575</v>
      </c>
      <c r="E54" s="27" t="s">
        <v>15</v>
      </c>
      <c r="F54" s="27"/>
      <c r="G54" s="28"/>
      <c r="H54" s="20"/>
      <c r="I54" s="29" t="s">
        <v>16</v>
      </c>
    </row>
    <row r="55" spans="1:9" ht="47.25">
      <c r="A55" s="47" t="s">
        <v>116</v>
      </c>
      <c r="B55" s="48" t="s">
        <v>117</v>
      </c>
      <c r="C55" s="27">
        <v>2274</v>
      </c>
      <c r="D55" s="20">
        <v>47000</v>
      </c>
      <c r="E55" s="27" t="s">
        <v>15</v>
      </c>
      <c r="F55" s="27"/>
      <c r="G55" s="28" t="s">
        <v>118</v>
      </c>
      <c r="H55" s="20"/>
      <c r="I55" s="29" t="s">
        <v>16</v>
      </c>
    </row>
    <row r="56" spans="1:9" ht="33.75">
      <c r="A56" s="30" t="s">
        <v>120</v>
      </c>
      <c r="B56" s="31" t="s">
        <v>121</v>
      </c>
      <c r="C56" s="37">
        <v>2210</v>
      </c>
      <c r="D56" s="20">
        <v>9998.4</v>
      </c>
      <c r="E56" s="27" t="s">
        <v>15</v>
      </c>
      <c r="F56" s="33"/>
      <c r="G56" s="28"/>
      <c r="H56" s="20"/>
      <c r="I56" s="49" t="s">
        <v>119</v>
      </c>
    </row>
    <row r="57" spans="1:9" ht="33.75">
      <c r="A57" s="30" t="s">
        <v>21</v>
      </c>
      <c r="B57" s="32" t="s">
        <v>22</v>
      </c>
      <c r="C57" s="27">
        <v>2220</v>
      </c>
      <c r="D57" s="20">
        <v>10000</v>
      </c>
      <c r="E57" s="27" t="s">
        <v>15</v>
      </c>
      <c r="F57" s="27"/>
      <c r="G57" s="28" t="s">
        <v>118</v>
      </c>
      <c r="H57" s="20"/>
      <c r="I57" s="49" t="s">
        <v>119</v>
      </c>
    </row>
    <row r="58" spans="1:9" ht="33.75">
      <c r="A58" s="30" t="s">
        <v>23</v>
      </c>
      <c r="B58" s="32" t="s">
        <v>24</v>
      </c>
      <c r="C58" s="27">
        <v>2220</v>
      </c>
      <c r="D58" s="20">
        <v>5000</v>
      </c>
      <c r="E58" s="27" t="s">
        <v>15</v>
      </c>
      <c r="F58" s="27"/>
      <c r="G58" s="28" t="s">
        <v>118</v>
      </c>
      <c r="H58" s="20"/>
      <c r="I58" s="49" t="s">
        <v>119</v>
      </c>
    </row>
    <row r="59" spans="1:9" ht="33.75">
      <c r="A59" s="30" t="s">
        <v>25</v>
      </c>
      <c r="B59" s="32" t="s">
        <v>26</v>
      </c>
      <c r="C59" s="27">
        <v>2220</v>
      </c>
      <c r="D59" s="20">
        <f>7000+9452+17599.8+9671.74</f>
        <v>43723.54</v>
      </c>
      <c r="E59" s="27" t="s">
        <v>15</v>
      </c>
      <c r="F59" s="27" t="s">
        <v>124</v>
      </c>
      <c r="G59" s="28"/>
      <c r="H59" s="20"/>
      <c r="I59" s="49" t="s">
        <v>119</v>
      </c>
    </row>
    <row r="60" spans="1:9" ht="38.25">
      <c r="A60" s="30" t="s">
        <v>27</v>
      </c>
      <c r="B60" s="32" t="s">
        <v>28</v>
      </c>
      <c r="C60" s="27">
        <v>2220</v>
      </c>
      <c r="D60" s="20">
        <f>4000+12991.17-4000</f>
        <v>12991.169999999998</v>
      </c>
      <c r="E60" s="27" t="s">
        <v>15</v>
      </c>
      <c r="F60" s="27"/>
      <c r="G60" s="28"/>
      <c r="H60" s="20"/>
      <c r="I60" s="49" t="s">
        <v>119</v>
      </c>
    </row>
    <row r="61" spans="1:9" ht="33.75">
      <c r="A61" s="22" t="s">
        <v>125</v>
      </c>
      <c r="B61" s="50" t="s">
        <v>126</v>
      </c>
      <c r="C61" s="27">
        <v>2220</v>
      </c>
      <c r="D61" s="20">
        <v>3000</v>
      </c>
      <c r="E61" s="27" t="s">
        <v>15</v>
      </c>
      <c r="F61" s="27"/>
      <c r="G61" s="28" t="s">
        <v>118</v>
      </c>
      <c r="H61" s="20"/>
      <c r="I61" s="49" t="s">
        <v>119</v>
      </c>
    </row>
    <row r="62" spans="1:9" ht="33.75">
      <c r="A62" s="57" t="s">
        <v>128</v>
      </c>
      <c r="B62" s="58" t="s">
        <v>129</v>
      </c>
      <c r="C62" s="27">
        <v>2240</v>
      </c>
      <c r="D62" s="20">
        <f>17100-10620</f>
        <v>6480</v>
      </c>
      <c r="E62" s="27" t="s">
        <v>15</v>
      </c>
      <c r="F62" s="27"/>
      <c r="G62" s="28"/>
      <c r="H62" s="20"/>
      <c r="I62" s="49" t="s">
        <v>119</v>
      </c>
    </row>
    <row r="63" spans="1:9" ht="33.75">
      <c r="A63" s="22" t="s">
        <v>114</v>
      </c>
      <c r="B63" s="45" t="s">
        <v>115</v>
      </c>
      <c r="C63" s="27">
        <v>2272</v>
      </c>
      <c r="D63" s="20">
        <v>1808.01</v>
      </c>
      <c r="E63" s="27" t="s">
        <v>15</v>
      </c>
      <c r="F63" s="27" t="s">
        <v>124</v>
      </c>
      <c r="G63" s="28"/>
      <c r="H63" s="20"/>
      <c r="I63" s="49" t="s">
        <v>119</v>
      </c>
    </row>
    <row r="64" spans="1:9" ht="51">
      <c r="A64" s="22" t="s">
        <v>31</v>
      </c>
      <c r="B64" s="50" t="s">
        <v>32</v>
      </c>
      <c r="C64" s="33">
        <v>2220</v>
      </c>
      <c r="D64" s="21">
        <f>3610+6980.5+3370.5</f>
        <v>13961</v>
      </c>
      <c r="E64" s="27" t="s">
        <v>15</v>
      </c>
      <c r="F64" s="33" t="s">
        <v>110</v>
      </c>
      <c r="G64" s="28" t="s">
        <v>130</v>
      </c>
      <c r="H64" s="21">
        <f>3610+6980.5+3370.5</f>
        <v>13961</v>
      </c>
      <c r="I64" s="40" t="s">
        <v>16</v>
      </c>
    </row>
    <row r="65" spans="1:9" ht="33.75">
      <c r="A65" s="39" t="s">
        <v>21</v>
      </c>
      <c r="B65" s="59" t="s">
        <v>22</v>
      </c>
      <c r="C65" s="33">
        <v>2220</v>
      </c>
      <c r="D65" s="21">
        <f>7992.9+8282.87</f>
        <v>16275.77</v>
      </c>
      <c r="E65" s="27" t="s">
        <v>15</v>
      </c>
      <c r="F65" s="33" t="s">
        <v>110</v>
      </c>
      <c r="G65" s="28" t="s">
        <v>130</v>
      </c>
      <c r="H65" s="21">
        <f>7992.9+8282.87</f>
        <v>16275.77</v>
      </c>
      <c r="I65" s="40" t="s">
        <v>16</v>
      </c>
    </row>
    <row r="66" spans="1:9" ht="38.25">
      <c r="A66" s="42" t="s">
        <v>29</v>
      </c>
      <c r="B66" s="44" t="s">
        <v>30</v>
      </c>
      <c r="C66" s="33">
        <v>2220</v>
      </c>
      <c r="D66" s="21">
        <v>11000</v>
      </c>
      <c r="E66" s="27" t="s">
        <v>15</v>
      </c>
      <c r="F66" s="33"/>
      <c r="G66" s="28" t="s">
        <v>118</v>
      </c>
      <c r="H66" s="39"/>
      <c r="I66" s="40" t="s">
        <v>16</v>
      </c>
    </row>
    <row r="67" spans="1:9" ht="38.25">
      <c r="A67" s="42" t="s">
        <v>29</v>
      </c>
      <c r="B67" s="44" t="s">
        <v>30</v>
      </c>
      <c r="C67" s="33">
        <v>2220</v>
      </c>
      <c r="D67" s="21">
        <f>49000-12887.9-9153.6-4877.94</f>
        <v>22080.56</v>
      </c>
      <c r="E67" s="27" t="s">
        <v>15</v>
      </c>
      <c r="F67" s="33"/>
      <c r="G67" s="28"/>
      <c r="H67" s="39"/>
      <c r="I67" s="40" t="s">
        <v>16</v>
      </c>
    </row>
    <row r="68" spans="1:9" ht="33.75">
      <c r="A68" s="30" t="s">
        <v>50</v>
      </c>
      <c r="B68" s="32" t="s">
        <v>133</v>
      </c>
      <c r="C68" s="33">
        <v>2220</v>
      </c>
      <c r="D68" s="21">
        <v>367.2</v>
      </c>
      <c r="E68" s="27" t="s">
        <v>15</v>
      </c>
      <c r="F68" s="33" t="s">
        <v>110</v>
      </c>
      <c r="G68" s="28" t="s">
        <v>130</v>
      </c>
      <c r="H68" s="22">
        <v>367.2</v>
      </c>
      <c r="I68" s="40" t="s">
        <v>16</v>
      </c>
    </row>
    <row r="69" spans="1:9" ht="33.75">
      <c r="A69" s="22" t="s">
        <v>23</v>
      </c>
      <c r="B69" s="50" t="s">
        <v>24</v>
      </c>
      <c r="C69" s="33">
        <v>2220</v>
      </c>
      <c r="D69" s="22">
        <v>10275</v>
      </c>
      <c r="E69" s="27" t="s">
        <v>15</v>
      </c>
      <c r="F69" s="33" t="s">
        <v>110</v>
      </c>
      <c r="G69" s="28" t="s">
        <v>130</v>
      </c>
      <c r="H69" s="22">
        <v>10275</v>
      </c>
      <c r="I69" s="40" t="s">
        <v>16</v>
      </c>
    </row>
    <row r="70" spans="1:9" ht="22.5">
      <c r="A70" s="42" t="s">
        <v>39</v>
      </c>
      <c r="B70" s="44" t="s">
        <v>40</v>
      </c>
      <c r="C70" s="33">
        <v>2220</v>
      </c>
      <c r="D70" s="22">
        <v>31017.39</v>
      </c>
      <c r="E70" s="27" t="s">
        <v>15</v>
      </c>
      <c r="F70" s="33"/>
      <c r="G70" s="28" t="s">
        <v>118</v>
      </c>
      <c r="H70" s="40"/>
      <c r="I70" s="40" t="s">
        <v>16</v>
      </c>
    </row>
    <row r="71" spans="1:9" ht="15.75">
      <c r="A71" s="42" t="s">
        <v>39</v>
      </c>
      <c r="B71" s="44" t="s">
        <v>40</v>
      </c>
      <c r="C71" s="33">
        <v>2220</v>
      </c>
      <c r="D71" s="22">
        <f>49000-12800-16284.24</f>
        <v>19915.760000000002</v>
      </c>
      <c r="E71" s="27" t="s">
        <v>15</v>
      </c>
      <c r="F71" s="33"/>
      <c r="G71" s="28"/>
      <c r="H71" s="60"/>
      <c r="I71" s="40" t="s">
        <v>16</v>
      </c>
    </row>
    <row r="72" spans="1:9" ht="38.25">
      <c r="A72" s="61" t="s">
        <v>41</v>
      </c>
      <c r="B72" s="44" t="s">
        <v>42</v>
      </c>
      <c r="C72" s="33">
        <v>2220</v>
      </c>
      <c r="D72" s="21">
        <v>2449</v>
      </c>
      <c r="E72" s="27" t="s">
        <v>15</v>
      </c>
      <c r="F72" s="33" t="s">
        <v>110</v>
      </c>
      <c r="G72" s="28" t="s">
        <v>130</v>
      </c>
      <c r="H72" s="21">
        <v>2449</v>
      </c>
      <c r="I72" s="40" t="s">
        <v>16</v>
      </c>
    </row>
    <row r="73" spans="1:9" ht="38.25">
      <c r="A73" s="42" t="s">
        <v>27</v>
      </c>
      <c r="B73" s="50" t="s">
        <v>136</v>
      </c>
      <c r="C73" s="33">
        <v>2220</v>
      </c>
      <c r="D73" s="20">
        <f>14000+1370.48</f>
        <v>15370.48</v>
      </c>
      <c r="E73" s="27" t="s">
        <v>15</v>
      </c>
      <c r="F73" s="33"/>
      <c r="G73" s="28"/>
      <c r="H73" s="20"/>
      <c r="I73" s="40" t="s">
        <v>16</v>
      </c>
    </row>
    <row r="74" spans="1:9" ht="33.75">
      <c r="A74" s="42" t="s">
        <v>137</v>
      </c>
      <c r="B74" s="44" t="s">
        <v>138</v>
      </c>
      <c r="C74" s="33">
        <v>2220</v>
      </c>
      <c r="D74" s="21">
        <f>2596.05+3857.4+4326.75</f>
        <v>10780.2</v>
      </c>
      <c r="E74" s="27" t="s">
        <v>15</v>
      </c>
      <c r="F74" s="33" t="s">
        <v>110</v>
      </c>
      <c r="G74" s="28" t="s">
        <v>130</v>
      </c>
      <c r="H74" s="21">
        <f>2596.05+3857.4+4326.75</f>
        <v>10780.2</v>
      </c>
      <c r="I74" s="63" t="s">
        <v>16</v>
      </c>
    </row>
    <row r="75" spans="1:9" ht="22.5">
      <c r="A75" s="35" t="s">
        <v>86</v>
      </c>
      <c r="B75" s="52" t="s">
        <v>87</v>
      </c>
      <c r="C75" s="37">
        <v>2230</v>
      </c>
      <c r="D75" s="21">
        <v>1600</v>
      </c>
      <c r="E75" s="27" t="s">
        <v>15</v>
      </c>
      <c r="F75" s="37"/>
      <c r="G75" s="28" t="s">
        <v>118</v>
      </c>
      <c r="H75" s="39"/>
      <c r="I75" s="63" t="s">
        <v>16</v>
      </c>
    </row>
    <row r="76" spans="1:9" ht="15.75">
      <c r="A76" s="35" t="s">
        <v>86</v>
      </c>
      <c r="B76" s="52" t="s">
        <v>87</v>
      </c>
      <c r="C76" s="37">
        <v>2230</v>
      </c>
      <c r="D76" s="20">
        <f>24678-15479.06-474.14</f>
        <v>8724.800000000001</v>
      </c>
      <c r="E76" s="27" t="s">
        <v>15</v>
      </c>
      <c r="F76" s="33"/>
      <c r="G76" s="28"/>
      <c r="H76" s="34"/>
      <c r="I76" s="63" t="s">
        <v>16</v>
      </c>
    </row>
    <row r="77" spans="1:9" ht="31.5">
      <c r="A77" s="35" t="s">
        <v>52</v>
      </c>
      <c r="B77" s="36" t="s">
        <v>53</v>
      </c>
      <c r="C77" s="37">
        <v>2230</v>
      </c>
      <c r="D77" s="20">
        <f>12400-2675</f>
        <v>9725</v>
      </c>
      <c r="E77" s="27" t="s">
        <v>15</v>
      </c>
      <c r="F77" s="33"/>
      <c r="G77" s="28" t="s">
        <v>118</v>
      </c>
      <c r="H77" s="34"/>
      <c r="I77" s="63" t="s">
        <v>16</v>
      </c>
    </row>
    <row r="78" spans="1:9" ht="31.5">
      <c r="A78" s="35" t="s">
        <v>52</v>
      </c>
      <c r="B78" s="36" t="s">
        <v>53</v>
      </c>
      <c r="C78" s="37">
        <v>2230</v>
      </c>
      <c r="D78" s="20">
        <f>48942-5940-220-17407+525</f>
        <v>25900</v>
      </c>
      <c r="E78" s="27" t="s">
        <v>15</v>
      </c>
      <c r="F78" s="33"/>
      <c r="G78" s="28"/>
      <c r="H78" s="34"/>
      <c r="I78" s="63" t="s">
        <v>16</v>
      </c>
    </row>
    <row r="79" spans="1:9" ht="31.5">
      <c r="A79" s="35" t="s">
        <v>72</v>
      </c>
      <c r="B79" s="52" t="s">
        <v>73</v>
      </c>
      <c r="C79" s="37">
        <v>2230</v>
      </c>
      <c r="D79" s="20">
        <f>1900+350+697.5</f>
        <v>2947.5</v>
      </c>
      <c r="E79" s="27" t="s">
        <v>15</v>
      </c>
      <c r="F79" s="33"/>
      <c r="G79" s="28"/>
      <c r="H79" s="34"/>
      <c r="I79" s="63" t="s">
        <v>16</v>
      </c>
    </row>
    <row r="80" spans="1:9" ht="22.5">
      <c r="A80" s="35" t="s">
        <v>56</v>
      </c>
      <c r="B80" s="52" t="s">
        <v>57</v>
      </c>
      <c r="C80" s="37">
        <v>2230</v>
      </c>
      <c r="D80" s="20">
        <v>2900</v>
      </c>
      <c r="E80" s="27" t="s">
        <v>15</v>
      </c>
      <c r="F80" s="33"/>
      <c r="G80" s="28" t="s">
        <v>118</v>
      </c>
      <c r="H80" s="34"/>
      <c r="I80" s="63" t="s">
        <v>16</v>
      </c>
    </row>
    <row r="81" spans="1:9" ht="15.75">
      <c r="A81" s="35" t="s">
        <v>56</v>
      </c>
      <c r="B81" s="52" t="s">
        <v>57</v>
      </c>
      <c r="C81" s="37">
        <v>2230</v>
      </c>
      <c r="D81" s="20">
        <f>10500-7049.8-1338.7</f>
        <v>2111.5</v>
      </c>
      <c r="E81" s="27" t="s">
        <v>15</v>
      </c>
      <c r="F81" s="33"/>
      <c r="G81" s="28"/>
      <c r="H81" s="34"/>
      <c r="I81" s="63" t="s">
        <v>16</v>
      </c>
    </row>
    <row r="82" spans="1:9" ht="47.25">
      <c r="A82" s="35" t="s">
        <v>58</v>
      </c>
      <c r="B82" s="52" t="s">
        <v>59</v>
      </c>
      <c r="C82" s="37">
        <v>2230</v>
      </c>
      <c r="D82" s="20">
        <f>4400+14535-155.5+1740</f>
        <v>20519.5</v>
      </c>
      <c r="E82" s="27" t="s">
        <v>15</v>
      </c>
      <c r="F82" s="33"/>
      <c r="G82" s="28"/>
      <c r="H82" s="34"/>
      <c r="I82" s="63" t="s">
        <v>16</v>
      </c>
    </row>
    <row r="83" spans="1:9" ht="47.25">
      <c r="A83" s="35" t="s">
        <v>88</v>
      </c>
      <c r="B83" s="52" t="s">
        <v>143</v>
      </c>
      <c r="C83" s="37">
        <v>2230</v>
      </c>
      <c r="D83" s="20">
        <f>11200-5321.92</f>
        <v>5878.08</v>
      </c>
      <c r="E83" s="27" t="s">
        <v>15</v>
      </c>
      <c r="F83" s="33"/>
      <c r="G83" s="28"/>
      <c r="H83" s="34"/>
      <c r="I83" s="63" t="s">
        <v>16</v>
      </c>
    </row>
    <row r="84" spans="1:9" ht="47.25">
      <c r="A84" s="35" t="s">
        <v>88</v>
      </c>
      <c r="B84" s="52" t="s">
        <v>143</v>
      </c>
      <c r="C84" s="37">
        <v>2230</v>
      </c>
      <c r="D84" s="20">
        <v>45000</v>
      </c>
      <c r="E84" s="27" t="s">
        <v>15</v>
      </c>
      <c r="F84" s="33" t="s">
        <v>110</v>
      </c>
      <c r="G84" s="28" t="s">
        <v>111</v>
      </c>
      <c r="H84" s="34">
        <v>45000</v>
      </c>
      <c r="I84" s="63" t="s">
        <v>16</v>
      </c>
    </row>
    <row r="85" spans="1:9" ht="22.5">
      <c r="A85" s="35" t="s">
        <v>76</v>
      </c>
      <c r="B85" s="52" t="s">
        <v>77</v>
      </c>
      <c r="C85" s="37">
        <v>2230</v>
      </c>
      <c r="D85" s="20">
        <v>803</v>
      </c>
      <c r="E85" s="27" t="s">
        <v>15</v>
      </c>
      <c r="F85" s="33"/>
      <c r="G85" s="28" t="s">
        <v>118</v>
      </c>
      <c r="H85" s="34"/>
      <c r="I85" s="63" t="s">
        <v>16</v>
      </c>
    </row>
    <row r="86" spans="1:9" ht="15.75">
      <c r="A86" s="35" t="s">
        <v>76</v>
      </c>
      <c r="B86" s="52" t="s">
        <v>77</v>
      </c>
      <c r="C86" s="37">
        <v>2230</v>
      </c>
      <c r="D86" s="20">
        <f>3397-225</f>
        <v>3172</v>
      </c>
      <c r="E86" s="27" t="s">
        <v>15</v>
      </c>
      <c r="F86" s="33"/>
      <c r="G86" s="28"/>
      <c r="H86" s="34"/>
      <c r="I86" s="63" t="s">
        <v>16</v>
      </c>
    </row>
    <row r="87" spans="1:9" ht="22.5">
      <c r="A87" s="35" t="s">
        <v>60</v>
      </c>
      <c r="B87" s="52" t="s">
        <v>61</v>
      </c>
      <c r="C87" s="37">
        <v>2230</v>
      </c>
      <c r="D87" s="20">
        <v>2600</v>
      </c>
      <c r="E87" s="27" t="s">
        <v>15</v>
      </c>
      <c r="F87" s="33"/>
      <c r="G87" s="28" t="s">
        <v>118</v>
      </c>
      <c r="H87" s="34"/>
      <c r="I87" s="63" t="s">
        <v>16</v>
      </c>
    </row>
    <row r="88" spans="1:9" ht="15.75">
      <c r="A88" s="35" t="s">
        <v>60</v>
      </c>
      <c r="B88" s="52" t="s">
        <v>61</v>
      </c>
      <c r="C88" s="37">
        <v>2230</v>
      </c>
      <c r="D88" s="20">
        <f>10832-13.12-6622.57</f>
        <v>4196.3099999999995</v>
      </c>
      <c r="E88" s="27" t="s">
        <v>15</v>
      </c>
      <c r="F88" s="33"/>
      <c r="G88" s="28"/>
      <c r="H88" s="34"/>
      <c r="I88" s="63" t="s">
        <v>16</v>
      </c>
    </row>
    <row r="89" spans="1:9" ht="22.5">
      <c r="A89" s="35" t="s">
        <v>64</v>
      </c>
      <c r="B89" s="52" t="s">
        <v>65</v>
      </c>
      <c r="C89" s="37">
        <v>2230</v>
      </c>
      <c r="D89" s="20">
        <v>240</v>
      </c>
      <c r="E89" s="27" t="s">
        <v>15</v>
      </c>
      <c r="F89" s="33"/>
      <c r="G89" s="28" t="s">
        <v>118</v>
      </c>
      <c r="H89" s="34"/>
      <c r="I89" s="63" t="s">
        <v>16</v>
      </c>
    </row>
    <row r="90" spans="1:9" ht="15.75">
      <c r="A90" s="35" t="s">
        <v>64</v>
      </c>
      <c r="B90" s="52" t="s">
        <v>65</v>
      </c>
      <c r="C90" s="37">
        <v>2230</v>
      </c>
      <c r="D90" s="20">
        <f>960-0.95</f>
        <v>959.05</v>
      </c>
      <c r="E90" s="27" t="s">
        <v>15</v>
      </c>
      <c r="F90" s="33"/>
      <c r="G90" s="28"/>
      <c r="H90" s="34"/>
      <c r="I90" s="63" t="s">
        <v>16</v>
      </c>
    </row>
    <row r="91" spans="1:9" ht="22.5">
      <c r="A91" s="35" t="s">
        <v>54</v>
      </c>
      <c r="B91" s="65" t="s">
        <v>55</v>
      </c>
      <c r="C91" s="37">
        <v>2230</v>
      </c>
      <c r="D91" s="20">
        <f>25933.71+6589</f>
        <v>32522.71</v>
      </c>
      <c r="E91" s="27" t="s">
        <v>15</v>
      </c>
      <c r="F91" s="33"/>
      <c r="G91" s="28" t="s">
        <v>118</v>
      </c>
      <c r="H91" s="34"/>
      <c r="I91" s="63" t="s">
        <v>16</v>
      </c>
    </row>
    <row r="92" spans="1:9" ht="15.75">
      <c r="A92" s="35" t="s">
        <v>54</v>
      </c>
      <c r="B92" s="65" t="s">
        <v>55</v>
      </c>
      <c r="C92" s="37">
        <v>2230</v>
      </c>
      <c r="D92" s="20">
        <f>99330-350-6000-14535-11691.61-12705.5-20659.75</f>
        <v>33388.14</v>
      </c>
      <c r="E92" s="27" t="s">
        <v>15</v>
      </c>
      <c r="F92" s="33"/>
      <c r="G92" s="28"/>
      <c r="H92" s="34"/>
      <c r="I92" s="63" t="s">
        <v>16</v>
      </c>
    </row>
    <row r="93" spans="1:9" ht="22.5">
      <c r="A93" s="35" t="s">
        <v>66</v>
      </c>
      <c r="B93" s="65" t="s">
        <v>67</v>
      </c>
      <c r="C93" s="37">
        <v>2230</v>
      </c>
      <c r="D93" s="20">
        <v>11700</v>
      </c>
      <c r="E93" s="27" t="s">
        <v>15</v>
      </c>
      <c r="F93" s="33"/>
      <c r="G93" s="28" t="s">
        <v>118</v>
      </c>
      <c r="H93" s="34"/>
      <c r="I93" s="63" t="s">
        <v>16</v>
      </c>
    </row>
    <row r="94" spans="1:9" ht="15.75">
      <c r="A94" s="35" t="s">
        <v>66</v>
      </c>
      <c r="B94" s="65" t="s">
        <v>67</v>
      </c>
      <c r="C94" s="37">
        <v>2230</v>
      </c>
      <c r="D94" s="20">
        <f>32930-13430-8763.6</f>
        <v>10736.4</v>
      </c>
      <c r="E94" s="27" t="s">
        <v>15</v>
      </c>
      <c r="F94" s="33"/>
      <c r="G94" s="28"/>
      <c r="H94" s="34"/>
      <c r="I94" s="63" t="s">
        <v>16</v>
      </c>
    </row>
    <row r="95" spans="1:9" ht="47.25">
      <c r="A95" s="35" t="s">
        <v>68</v>
      </c>
      <c r="B95" s="52" t="s">
        <v>69</v>
      </c>
      <c r="C95" s="37">
        <v>2230</v>
      </c>
      <c r="D95" s="20">
        <f>24100-2100</f>
        <v>22000</v>
      </c>
      <c r="E95" s="27" t="s">
        <v>15</v>
      </c>
      <c r="F95" s="33"/>
      <c r="G95" s="28" t="s">
        <v>118</v>
      </c>
      <c r="H95" s="34"/>
      <c r="I95" s="63" t="s">
        <v>16</v>
      </c>
    </row>
    <row r="96" spans="1:9" ht="47.25">
      <c r="A96" s="35" t="s">
        <v>68</v>
      </c>
      <c r="B96" s="52" t="s">
        <v>69</v>
      </c>
      <c r="C96" s="37">
        <v>2230</v>
      </c>
      <c r="D96" s="20">
        <f>72300-10000-7432.8</f>
        <v>54867.2</v>
      </c>
      <c r="E96" s="27" t="s">
        <v>15</v>
      </c>
      <c r="F96" s="33"/>
      <c r="G96" s="28"/>
      <c r="H96" s="34"/>
      <c r="I96" s="63" t="s">
        <v>16</v>
      </c>
    </row>
    <row r="97" spans="1:9" ht="15.75">
      <c r="A97" s="35" t="s">
        <v>80</v>
      </c>
      <c r="B97" s="65" t="s">
        <v>81</v>
      </c>
      <c r="C97" s="37">
        <v>2230</v>
      </c>
      <c r="D97" s="20">
        <f>4400-2420</f>
        <v>1980</v>
      </c>
      <c r="E97" s="27" t="s">
        <v>15</v>
      </c>
      <c r="F97" s="33"/>
      <c r="G97" s="28"/>
      <c r="H97" s="34"/>
      <c r="I97" s="63" t="s">
        <v>16</v>
      </c>
    </row>
    <row r="98" spans="1:9" ht="22.5">
      <c r="A98" s="35" t="s">
        <v>82</v>
      </c>
      <c r="B98" s="65" t="s">
        <v>83</v>
      </c>
      <c r="C98" s="37">
        <v>2230</v>
      </c>
      <c r="D98" s="20">
        <v>3600</v>
      </c>
      <c r="E98" s="27" t="s">
        <v>15</v>
      </c>
      <c r="F98" s="33"/>
      <c r="G98" s="28" t="s">
        <v>118</v>
      </c>
      <c r="H98" s="34"/>
      <c r="I98" s="63" t="s">
        <v>16</v>
      </c>
    </row>
    <row r="99" spans="1:9" ht="15.75">
      <c r="A99" s="35" t="s">
        <v>82</v>
      </c>
      <c r="B99" s="65" t="s">
        <v>83</v>
      </c>
      <c r="C99" s="37">
        <v>2230</v>
      </c>
      <c r="D99" s="20">
        <f>16264-5784</f>
        <v>10480</v>
      </c>
      <c r="E99" s="27" t="s">
        <v>15</v>
      </c>
      <c r="F99" s="33"/>
      <c r="G99" s="28"/>
      <c r="H99" s="34"/>
      <c r="I99" s="63" t="s">
        <v>16</v>
      </c>
    </row>
    <row r="100" spans="1:9" ht="47.25">
      <c r="A100" s="51" t="s">
        <v>70</v>
      </c>
      <c r="B100" s="56" t="s">
        <v>71</v>
      </c>
      <c r="C100" s="37">
        <v>2230</v>
      </c>
      <c r="D100" s="20">
        <v>9200</v>
      </c>
      <c r="E100" s="27" t="s">
        <v>15</v>
      </c>
      <c r="F100" s="33"/>
      <c r="G100" s="28" t="s">
        <v>118</v>
      </c>
      <c r="H100" s="34"/>
      <c r="I100" s="63" t="s">
        <v>16</v>
      </c>
    </row>
    <row r="101" spans="1:9" ht="47.25">
      <c r="A101" s="51" t="s">
        <v>70</v>
      </c>
      <c r="B101" s="56" t="s">
        <v>71</v>
      </c>
      <c r="C101" s="37">
        <v>2230</v>
      </c>
      <c r="D101" s="20">
        <f>41800-4559.5-36328.02</f>
        <v>912.4800000000032</v>
      </c>
      <c r="E101" s="27" t="s">
        <v>15</v>
      </c>
      <c r="F101" s="33"/>
      <c r="G101" s="28"/>
      <c r="H101" s="34"/>
      <c r="I101" s="63" t="s">
        <v>16</v>
      </c>
    </row>
    <row r="102" spans="1:9" ht="15.75">
      <c r="A102" s="51" t="s">
        <v>90</v>
      </c>
      <c r="B102" s="52" t="s">
        <v>91</v>
      </c>
      <c r="C102" s="37">
        <v>2230</v>
      </c>
      <c r="D102" s="20">
        <f>600-245.98</f>
        <v>354.02</v>
      </c>
      <c r="E102" s="27" t="s">
        <v>15</v>
      </c>
      <c r="F102" s="33"/>
      <c r="G102" s="28"/>
      <c r="H102" s="34"/>
      <c r="I102" s="63" t="s">
        <v>16</v>
      </c>
    </row>
    <row r="103" spans="1:9" ht="33.75">
      <c r="A103" s="30" t="s">
        <v>17</v>
      </c>
      <c r="B103" s="31" t="s">
        <v>18</v>
      </c>
      <c r="C103" s="27">
        <v>2210</v>
      </c>
      <c r="D103" s="20">
        <f>12900-7200-945-4750+4431.12</f>
        <v>4436.12</v>
      </c>
      <c r="E103" s="27" t="s">
        <v>15</v>
      </c>
      <c r="F103" s="27" t="s">
        <v>110</v>
      </c>
      <c r="G103" s="28" t="s">
        <v>144</v>
      </c>
      <c r="H103" s="34">
        <v>4431.12</v>
      </c>
      <c r="I103" s="49" t="s">
        <v>119</v>
      </c>
    </row>
    <row r="104" spans="1:9" ht="33.75">
      <c r="A104" s="30" t="s">
        <v>122</v>
      </c>
      <c r="B104" s="31" t="s">
        <v>123</v>
      </c>
      <c r="C104" s="27">
        <v>2210</v>
      </c>
      <c r="D104" s="34">
        <f>10400-6900-2500</f>
        <v>1000</v>
      </c>
      <c r="E104" s="27" t="s">
        <v>15</v>
      </c>
      <c r="F104" s="27"/>
      <c r="G104" s="28"/>
      <c r="H104" s="34"/>
      <c r="I104" s="49" t="s">
        <v>119</v>
      </c>
    </row>
    <row r="105" spans="1:9" ht="33.75">
      <c r="A105" s="30" t="s">
        <v>13</v>
      </c>
      <c r="B105" s="32" t="s">
        <v>146</v>
      </c>
      <c r="C105" s="27">
        <v>2210</v>
      </c>
      <c r="D105" s="34">
        <v>945</v>
      </c>
      <c r="E105" s="27" t="s">
        <v>15</v>
      </c>
      <c r="F105" s="27"/>
      <c r="G105" s="28"/>
      <c r="H105" s="34"/>
      <c r="I105" s="49" t="s">
        <v>119</v>
      </c>
    </row>
    <row r="106" spans="1:9" ht="33.75">
      <c r="A106" s="21" t="s">
        <v>139</v>
      </c>
      <c r="B106" s="64" t="s">
        <v>140</v>
      </c>
      <c r="C106" s="27">
        <v>2220</v>
      </c>
      <c r="D106" s="34">
        <f>7846.44+26687.34</f>
        <v>34533.78</v>
      </c>
      <c r="E106" s="27" t="s">
        <v>15</v>
      </c>
      <c r="F106" s="27"/>
      <c r="G106" s="28"/>
      <c r="H106" s="34"/>
      <c r="I106" s="49" t="s">
        <v>119</v>
      </c>
    </row>
    <row r="107" spans="1:9" ht="33.75">
      <c r="A107" s="22" t="s">
        <v>125</v>
      </c>
      <c r="B107" s="50" t="s">
        <v>126</v>
      </c>
      <c r="C107" s="33">
        <v>2220</v>
      </c>
      <c r="D107" s="20">
        <f>8000-500+10276.62-10276.62+10276.62</f>
        <v>17776.620000000003</v>
      </c>
      <c r="E107" s="27" t="s">
        <v>15</v>
      </c>
      <c r="F107" s="33" t="s">
        <v>124</v>
      </c>
      <c r="G107" s="28"/>
      <c r="H107" s="20"/>
      <c r="I107" s="49" t="s">
        <v>119</v>
      </c>
    </row>
    <row r="108" spans="1:9" ht="33.75">
      <c r="A108" s="39" t="s">
        <v>25</v>
      </c>
      <c r="B108" s="59" t="s">
        <v>26</v>
      </c>
      <c r="C108" s="33">
        <v>2220</v>
      </c>
      <c r="D108" s="20">
        <f>9600+680+34986</f>
        <v>45266</v>
      </c>
      <c r="E108" s="27" t="s">
        <v>15</v>
      </c>
      <c r="F108" s="33"/>
      <c r="G108" s="28"/>
      <c r="H108" s="20"/>
      <c r="I108" s="49" t="s">
        <v>119</v>
      </c>
    </row>
    <row r="109" spans="1:9" ht="33.75">
      <c r="A109" s="30" t="s">
        <v>13</v>
      </c>
      <c r="B109" s="32" t="s">
        <v>19</v>
      </c>
      <c r="C109" s="33">
        <v>2220</v>
      </c>
      <c r="D109" s="20">
        <f>11000+14647.23-11000+19036.8+19412.88-10057.69</f>
        <v>43039.22</v>
      </c>
      <c r="E109" s="27" t="s">
        <v>15</v>
      </c>
      <c r="F109" s="33"/>
      <c r="G109" s="28"/>
      <c r="H109" s="20"/>
      <c r="I109" s="49" t="s">
        <v>119</v>
      </c>
    </row>
    <row r="110" spans="1:9" ht="33.75">
      <c r="A110" s="39" t="s">
        <v>21</v>
      </c>
      <c r="B110" s="59" t="s">
        <v>22</v>
      </c>
      <c r="C110" s="33">
        <v>2220</v>
      </c>
      <c r="D110" s="20">
        <f>12000+3005+19412.88+23211.94-23211.94</f>
        <v>34417.880000000005</v>
      </c>
      <c r="E110" s="27" t="s">
        <v>15</v>
      </c>
      <c r="F110" s="33"/>
      <c r="G110" s="28"/>
      <c r="H110" s="20"/>
      <c r="I110" s="49" t="s">
        <v>119</v>
      </c>
    </row>
    <row r="111" spans="1:9" ht="38.25">
      <c r="A111" s="61" t="s">
        <v>41</v>
      </c>
      <c r="B111" s="44" t="s">
        <v>147</v>
      </c>
      <c r="C111" s="33">
        <v>2220</v>
      </c>
      <c r="D111" s="20">
        <f>876.5+77.76+1474+2449-1474-2449</f>
        <v>954.2600000000002</v>
      </c>
      <c r="E111" s="27" t="s">
        <v>15</v>
      </c>
      <c r="F111" s="33"/>
      <c r="G111" s="28"/>
      <c r="H111" s="20"/>
      <c r="I111" s="49" t="s">
        <v>119</v>
      </c>
    </row>
    <row r="112" spans="1:9" ht="33.75">
      <c r="A112" s="22" t="s">
        <v>23</v>
      </c>
      <c r="B112" s="50" t="s">
        <v>24</v>
      </c>
      <c r="C112" s="33">
        <v>2220</v>
      </c>
      <c r="D112" s="20">
        <f>6000+5897+5100+10275</f>
        <v>27272</v>
      </c>
      <c r="E112" s="27" t="s">
        <v>15</v>
      </c>
      <c r="F112" s="33"/>
      <c r="G112" s="67"/>
      <c r="H112" s="20"/>
      <c r="I112" s="49" t="s">
        <v>119</v>
      </c>
    </row>
    <row r="113" spans="1:9" ht="33.75">
      <c r="A113" s="42" t="s">
        <v>137</v>
      </c>
      <c r="B113" s="44" t="s">
        <v>138</v>
      </c>
      <c r="C113" s="33">
        <v>2220</v>
      </c>
      <c r="D113" s="20">
        <f>5100+4407.36+7968+6922.8+4134.6-6922.8-4134.6+802</f>
        <v>18277.36</v>
      </c>
      <c r="E113" s="27" t="s">
        <v>15</v>
      </c>
      <c r="F113" s="33" t="s">
        <v>124</v>
      </c>
      <c r="G113" s="28"/>
      <c r="H113" s="20"/>
      <c r="I113" s="49" t="s">
        <v>119</v>
      </c>
    </row>
    <row r="114" spans="1:9" ht="51">
      <c r="A114" s="42" t="s">
        <v>131</v>
      </c>
      <c r="B114" s="50" t="s">
        <v>132</v>
      </c>
      <c r="C114" s="33">
        <v>2220</v>
      </c>
      <c r="D114" s="20">
        <f>3000+207+232</f>
        <v>3439</v>
      </c>
      <c r="E114" s="27" t="s">
        <v>15</v>
      </c>
      <c r="F114" s="33"/>
      <c r="G114" s="28"/>
      <c r="H114" s="20"/>
      <c r="I114" s="49" t="s">
        <v>119</v>
      </c>
    </row>
    <row r="115" spans="1:9" ht="51">
      <c r="A115" s="22" t="s">
        <v>31</v>
      </c>
      <c r="B115" s="50" t="s">
        <v>32</v>
      </c>
      <c r="C115" s="33">
        <v>2220</v>
      </c>
      <c r="D115" s="20">
        <f>8000+5136+7841.36+693.97-5918.16+10453.37+6980.56-6980.56+4040</f>
        <v>30246.539999999997</v>
      </c>
      <c r="E115" s="27" t="s">
        <v>15</v>
      </c>
      <c r="F115" s="33" t="s">
        <v>110</v>
      </c>
      <c r="G115" s="28" t="s">
        <v>144</v>
      </c>
      <c r="H115" s="20">
        <v>4040</v>
      </c>
      <c r="I115" s="49" t="s">
        <v>119</v>
      </c>
    </row>
    <row r="116" spans="1:9" ht="33.75">
      <c r="A116" s="42" t="s">
        <v>37</v>
      </c>
      <c r="B116" s="44" t="s">
        <v>38</v>
      </c>
      <c r="C116" s="33">
        <v>2220</v>
      </c>
      <c r="D116" s="20">
        <f>15000-2000+4500+3000+5500</f>
        <v>26000</v>
      </c>
      <c r="E116" s="27" t="s">
        <v>15</v>
      </c>
      <c r="F116" s="33" t="s">
        <v>124</v>
      </c>
      <c r="G116" s="28"/>
      <c r="H116" s="20"/>
      <c r="I116" s="49" t="s">
        <v>119</v>
      </c>
    </row>
    <row r="117" spans="1:9" ht="38.25">
      <c r="A117" s="42" t="s">
        <v>27</v>
      </c>
      <c r="B117" s="50" t="s">
        <v>47</v>
      </c>
      <c r="C117" s="33">
        <v>2220</v>
      </c>
      <c r="D117" s="20">
        <f>30284.7+11448.8</f>
        <v>41733.5</v>
      </c>
      <c r="E117" s="27" t="s">
        <v>15</v>
      </c>
      <c r="F117" s="33" t="s">
        <v>124</v>
      </c>
      <c r="G117" s="28"/>
      <c r="H117" s="20"/>
      <c r="I117" s="49" t="s">
        <v>119</v>
      </c>
    </row>
    <row r="118" spans="1:9" ht="38.25">
      <c r="A118" s="42" t="s">
        <v>33</v>
      </c>
      <c r="B118" s="44" t="s">
        <v>34</v>
      </c>
      <c r="C118" s="33">
        <v>2220</v>
      </c>
      <c r="D118" s="20">
        <v>3870</v>
      </c>
      <c r="E118" s="27" t="s">
        <v>15</v>
      </c>
      <c r="F118" s="33"/>
      <c r="G118" s="28"/>
      <c r="H118" s="20"/>
      <c r="I118" s="49" t="s">
        <v>119</v>
      </c>
    </row>
    <row r="119" spans="1:9" ht="33.75">
      <c r="A119" s="42" t="s">
        <v>39</v>
      </c>
      <c r="B119" s="44" t="s">
        <v>40</v>
      </c>
      <c r="C119" s="33">
        <v>2220</v>
      </c>
      <c r="D119" s="20">
        <f>3533.3-3533.3+4570.61+8103.91+239.14</f>
        <v>12913.66</v>
      </c>
      <c r="E119" s="27" t="s">
        <v>15</v>
      </c>
      <c r="F119" s="33" t="s">
        <v>110</v>
      </c>
      <c r="G119" s="28" t="s">
        <v>144</v>
      </c>
      <c r="H119" s="20">
        <v>239.14</v>
      </c>
      <c r="I119" s="49" t="s">
        <v>119</v>
      </c>
    </row>
    <row r="120" spans="1:9" ht="33.75">
      <c r="A120" s="39" t="s">
        <v>35</v>
      </c>
      <c r="B120" s="59" t="s">
        <v>36</v>
      </c>
      <c r="C120" s="33">
        <v>2220</v>
      </c>
      <c r="D120" s="20">
        <f>6000+996.33+2341.14-500+4999.98+3775.34+6949.38+2050.95-1.71+410.6</f>
        <v>27022.010000000002</v>
      </c>
      <c r="E120" s="27" t="s">
        <v>15</v>
      </c>
      <c r="F120" s="33" t="s">
        <v>110</v>
      </c>
      <c r="G120" s="28" t="s">
        <v>144</v>
      </c>
      <c r="H120" s="20">
        <v>410.6</v>
      </c>
      <c r="I120" s="49" t="s">
        <v>119</v>
      </c>
    </row>
    <row r="121" spans="1:9" ht="38.25">
      <c r="A121" s="42" t="s">
        <v>45</v>
      </c>
      <c r="B121" s="44" t="s">
        <v>46</v>
      </c>
      <c r="C121" s="33">
        <v>2220</v>
      </c>
      <c r="D121" s="20">
        <f>2312.36+4752+1680+18569.84+26241.64+8744.36-27919.4</f>
        <v>34380.799999999996</v>
      </c>
      <c r="E121" s="27" t="s">
        <v>15</v>
      </c>
      <c r="F121" s="33"/>
      <c r="G121" s="28"/>
      <c r="H121" s="20"/>
      <c r="I121" s="49" t="s">
        <v>119</v>
      </c>
    </row>
    <row r="122" spans="1:9" ht="33.75">
      <c r="A122" s="57" t="s">
        <v>148</v>
      </c>
      <c r="B122" s="58" t="s">
        <v>149</v>
      </c>
      <c r="C122" s="37">
        <v>2240</v>
      </c>
      <c r="D122" s="21">
        <f>2000+1080</f>
        <v>3080</v>
      </c>
      <c r="E122" s="27" t="s">
        <v>15</v>
      </c>
      <c r="F122" s="33"/>
      <c r="G122" s="28"/>
      <c r="H122" s="20"/>
      <c r="I122" s="49" t="s">
        <v>119</v>
      </c>
    </row>
    <row r="123" spans="1:9" ht="47.25">
      <c r="A123" s="25" t="s">
        <v>112</v>
      </c>
      <c r="B123" s="26" t="s">
        <v>113</v>
      </c>
      <c r="C123" s="37">
        <v>2240</v>
      </c>
      <c r="D123" s="21">
        <f>10000-1913.42-204.75-2728.88-213+5705.4</f>
        <v>10645.349999999999</v>
      </c>
      <c r="E123" s="27" t="s">
        <v>15</v>
      </c>
      <c r="F123" s="33" t="s">
        <v>110</v>
      </c>
      <c r="G123" s="28" t="s">
        <v>144</v>
      </c>
      <c r="H123" s="20">
        <v>5705.4</v>
      </c>
      <c r="I123" s="49" t="s">
        <v>119</v>
      </c>
    </row>
    <row r="124" spans="1:9" ht="38.25">
      <c r="A124" s="25" t="s">
        <v>102</v>
      </c>
      <c r="B124" s="44" t="s">
        <v>103</v>
      </c>
      <c r="C124" s="37">
        <v>2240</v>
      </c>
      <c r="D124" s="20">
        <v>1913.42</v>
      </c>
      <c r="E124" s="27" t="s">
        <v>15</v>
      </c>
      <c r="F124" s="33"/>
      <c r="G124" s="28"/>
      <c r="H124" s="20"/>
      <c r="I124" s="49" t="s">
        <v>119</v>
      </c>
    </row>
    <row r="125" spans="1:9" ht="63">
      <c r="A125" s="42" t="s">
        <v>98</v>
      </c>
      <c r="B125" s="43" t="s">
        <v>99</v>
      </c>
      <c r="C125" s="37">
        <v>2240</v>
      </c>
      <c r="D125" s="20">
        <f>2728.88+213+1054</f>
        <v>3995.88</v>
      </c>
      <c r="E125" s="27" t="s">
        <v>15</v>
      </c>
      <c r="F125" s="33" t="s">
        <v>110</v>
      </c>
      <c r="G125" s="28" t="s">
        <v>144</v>
      </c>
      <c r="H125" s="20">
        <v>1054</v>
      </c>
      <c r="I125" s="49" t="s">
        <v>119</v>
      </c>
    </row>
    <row r="126" spans="1:9" ht="38.25">
      <c r="A126" s="25" t="s">
        <v>150</v>
      </c>
      <c r="B126" s="62" t="s">
        <v>151</v>
      </c>
      <c r="C126" s="37">
        <v>2240</v>
      </c>
      <c r="D126" s="21">
        <f>9800-8864.3</f>
        <v>935.7000000000007</v>
      </c>
      <c r="E126" s="27" t="s">
        <v>15</v>
      </c>
      <c r="F126" s="33"/>
      <c r="G126" s="28"/>
      <c r="H126" s="20"/>
      <c r="I126" s="49" t="s">
        <v>119</v>
      </c>
    </row>
    <row r="127" spans="1:9" ht="47.25">
      <c r="A127" s="57" t="s">
        <v>152</v>
      </c>
      <c r="B127" s="58" t="s">
        <v>153</v>
      </c>
      <c r="C127" s="37">
        <v>2240</v>
      </c>
      <c r="D127" s="68">
        <f>10000-205-365-9000-143.04</f>
        <v>286.96000000000004</v>
      </c>
      <c r="E127" s="27" t="s">
        <v>15</v>
      </c>
      <c r="F127" s="33"/>
      <c r="G127" s="28"/>
      <c r="H127" s="69"/>
      <c r="I127" s="49" t="s">
        <v>119</v>
      </c>
    </row>
    <row r="128" spans="1:9" ht="33.75">
      <c r="A128" s="30" t="s">
        <v>154</v>
      </c>
      <c r="B128" s="31" t="s">
        <v>155</v>
      </c>
      <c r="C128" s="37">
        <v>2240</v>
      </c>
      <c r="D128" s="20">
        <v>204.75</v>
      </c>
      <c r="E128" s="27" t="s">
        <v>15</v>
      </c>
      <c r="F128" s="33"/>
      <c r="G128" s="28"/>
      <c r="H128" s="20"/>
      <c r="I128" s="49" t="s">
        <v>119</v>
      </c>
    </row>
    <row r="129" spans="1:9" ht="33.75">
      <c r="A129" s="57" t="s">
        <v>156</v>
      </c>
      <c r="B129" s="70" t="s">
        <v>157</v>
      </c>
      <c r="C129" s="37">
        <v>2240</v>
      </c>
      <c r="D129" s="68">
        <f>265+305+558</f>
        <v>1128</v>
      </c>
      <c r="E129" s="27" t="s">
        <v>15</v>
      </c>
      <c r="F129" s="33"/>
      <c r="G129" s="28"/>
      <c r="H129" s="69"/>
      <c r="I129" s="49" t="s">
        <v>119</v>
      </c>
    </row>
    <row r="130" spans="1:9" ht="33.75">
      <c r="A130" s="30" t="s">
        <v>158</v>
      </c>
      <c r="B130" s="31" t="s">
        <v>159</v>
      </c>
      <c r="C130" s="37">
        <v>2240</v>
      </c>
      <c r="D130" s="21">
        <f>10500+3442</f>
        <v>13942</v>
      </c>
      <c r="E130" s="27" t="s">
        <v>15</v>
      </c>
      <c r="F130" s="33"/>
      <c r="G130" s="28"/>
      <c r="H130" s="20"/>
      <c r="I130" s="49" t="s">
        <v>119</v>
      </c>
    </row>
    <row r="131" spans="1:9" ht="76.5">
      <c r="A131" s="71" t="s">
        <v>100</v>
      </c>
      <c r="B131" s="72" t="s">
        <v>101</v>
      </c>
      <c r="C131" s="37">
        <v>2240</v>
      </c>
      <c r="D131" s="21">
        <f>10000-7968.17+213</f>
        <v>2244.83</v>
      </c>
      <c r="E131" s="27" t="s">
        <v>15</v>
      </c>
      <c r="F131" s="33"/>
      <c r="G131" s="28"/>
      <c r="H131" s="20"/>
      <c r="I131" s="49" t="s">
        <v>119</v>
      </c>
    </row>
    <row r="132" spans="1:9" ht="33.75">
      <c r="A132" s="71"/>
      <c r="B132" s="72" t="s">
        <v>160</v>
      </c>
      <c r="C132" s="37">
        <v>2240</v>
      </c>
      <c r="D132" s="21">
        <f>42129.6+27304.91</f>
        <v>69434.51</v>
      </c>
      <c r="E132" s="27" t="s">
        <v>15</v>
      </c>
      <c r="F132" s="33"/>
      <c r="G132" s="28"/>
      <c r="H132" s="20"/>
      <c r="I132" s="49" t="s">
        <v>119</v>
      </c>
    </row>
    <row r="133" spans="1:9" ht="33.75">
      <c r="A133" s="71" t="s">
        <v>154</v>
      </c>
      <c r="B133" s="72" t="s">
        <v>155</v>
      </c>
      <c r="C133" s="37">
        <v>2240</v>
      </c>
      <c r="D133" s="21">
        <v>204.45</v>
      </c>
      <c r="E133" s="27" t="s">
        <v>15</v>
      </c>
      <c r="F133" s="33"/>
      <c r="G133" s="28"/>
      <c r="H133" s="20"/>
      <c r="I133" s="49" t="s">
        <v>119</v>
      </c>
    </row>
    <row r="134" spans="1:9" ht="38.25">
      <c r="A134" s="71" t="s">
        <v>102</v>
      </c>
      <c r="B134" s="72" t="s">
        <v>103</v>
      </c>
      <c r="C134" s="37">
        <v>2240</v>
      </c>
      <c r="D134" s="21">
        <v>1913.42</v>
      </c>
      <c r="E134" s="27" t="s">
        <v>15</v>
      </c>
      <c r="F134" s="33"/>
      <c r="G134" s="28"/>
      <c r="H134" s="20"/>
      <c r="I134" s="49" t="s">
        <v>119</v>
      </c>
    </row>
    <row r="135" spans="1:9" ht="33.75">
      <c r="A135" s="22" t="s">
        <v>104</v>
      </c>
      <c r="B135" s="45" t="s">
        <v>105</v>
      </c>
      <c r="C135" s="37">
        <v>2271</v>
      </c>
      <c r="D135" s="21">
        <v>22900</v>
      </c>
      <c r="E135" s="27" t="s">
        <v>15</v>
      </c>
      <c r="F135" s="33"/>
      <c r="G135" s="28"/>
      <c r="H135" s="20"/>
      <c r="I135" s="49" t="s">
        <v>119</v>
      </c>
    </row>
    <row r="136" spans="1:9" ht="33.75">
      <c r="A136" s="57"/>
      <c r="B136" s="73" t="s">
        <v>161</v>
      </c>
      <c r="C136" s="37">
        <v>3132</v>
      </c>
      <c r="D136" s="21">
        <v>130000</v>
      </c>
      <c r="E136" s="27" t="s">
        <v>15</v>
      </c>
      <c r="F136" s="33" t="s">
        <v>110</v>
      </c>
      <c r="G136" s="28" t="s">
        <v>144</v>
      </c>
      <c r="H136" s="20">
        <v>130000</v>
      </c>
      <c r="I136" s="49" t="s">
        <v>119</v>
      </c>
    </row>
    <row r="137" spans="1:9" ht="33.75">
      <c r="A137" s="39" t="s">
        <v>35</v>
      </c>
      <c r="B137" s="59" t="s">
        <v>36</v>
      </c>
      <c r="C137" s="33">
        <v>2220</v>
      </c>
      <c r="D137" s="21">
        <f>7635.21+4050.43+4563.77</f>
        <v>16249.41</v>
      </c>
      <c r="E137" s="27" t="s">
        <v>15</v>
      </c>
      <c r="F137" s="33" t="s">
        <v>110</v>
      </c>
      <c r="G137" s="28" t="s">
        <v>130</v>
      </c>
      <c r="H137" s="21">
        <f>7635.21+4050.43+4563.77</f>
        <v>16249.41</v>
      </c>
      <c r="I137" s="40" t="s">
        <v>16</v>
      </c>
    </row>
    <row r="138" spans="1:9" ht="29.25" customHeight="1">
      <c r="A138" s="39" t="s">
        <v>21</v>
      </c>
      <c r="B138" s="59" t="s">
        <v>22</v>
      </c>
      <c r="C138" s="33">
        <v>2220</v>
      </c>
      <c r="D138" s="20">
        <f>6361.3</f>
        <v>6361.3</v>
      </c>
      <c r="E138" s="27" t="s">
        <v>15</v>
      </c>
      <c r="F138" s="33"/>
      <c r="G138" s="28"/>
      <c r="H138" s="34"/>
      <c r="I138" s="40" t="s">
        <v>16</v>
      </c>
    </row>
    <row r="139" spans="1:9" ht="33.75">
      <c r="A139" s="39" t="s">
        <v>139</v>
      </c>
      <c r="B139" s="64" t="s">
        <v>140</v>
      </c>
      <c r="C139" s="33">
        <v>2220</v>
      </c>
      <c r="D139" s="20">
        <f>7846.44+8806.53</f>
        <v>16652.97</v>
      </c>
      <c r="E139" s="27" t="s">
        <v>15</v>
      </c>
      <c r="F139" s="33" t="s">
        <v>110</v>
      </c>
      <c r="G139" s="28" t="s">
        <v>130</v>
      </c>
      <c r="H139" s="20">
        <f>7846.44+8806.53</f>
        <v>16652.97</v>
      </c>
      <c r="I139" s="40" t="s">
        <v>16</v>
      </c>
    </row>
    <row r="140" spans="1:9" ht="56.25">
      <c r="A140" s="22" t="s">
        <v>43</v>
      </c>
      <c r="B140" s="50" t="s">
        <v>168</v>
      </c>
      <c r="C140" s="33">
        <v>2220</v>
      </c>
      <c r="D140" s="20">
        <v>26215</v>
      </c>
      <c r="E140" s="27" t="s">
        <v>15</v>
      </c>
      <c r="F140" s="33" t="s">
        <v>110</v>
      </c>
      <c r="G140" s="28" t="s">
        <v>169</v>
      </c>
      <c r="H140" s="34">
        <v>26215</v>
      </c>
      <c r="I140" s="40" t="s">
        <v>16</v>
      </c>
    </row>
    <row r="141" spans="1:9" ht="38.25">
      <c r="A141" s="42" t="s">
        <v>27</v>
      </c>
      <c r="B141" s="50" t="s">
        <v>47</v>
      </c>
      <c r="C141" s="33">
        <v>2220</v>
      </c>
      <c r="D141" s="20">
        <f>25687.9+9153.6</f>
        <v>34841.5</v>
      </c>
      <c r="E141" s="27" t="s">
        <v>15</v>
      </c>
      <c r="F141" s="33"/>
      <c r="G141" s="28"/>
      <c r="H141" s="34"/>
      <c r="I141" s="40" t="s">
        <v>16</v>
      </c>
    </row>
    <row r="142" spans="1:9" ht="38.25">
      <c r="A142" s="42" t="s">
        <v>27</v>
      </c>
      <c r="B142" s="50" t="s">
        <v>47</v>
      </c>
      <c r="C142" s="33">
        <v>2220</v>
      </c>
      <c r="D142" s="20">
        <f>47320.75+10200</f>
        <v>57520.75</v>
      </c>
      <c r="E142" s="27" t="s">
        <v>15</v>
      </c>
      <c r="F142" s="33"/>
      <c r="G142" s="28" t="s">
        <v>167</v>
      </c>
      <c r="H142" s="34">
        <v>10200</v>
      </c>
      <c r="I142" s="40" t="s">
        <v>16</v>
      </c>
    </row>
    <row r="143" spans="1:9" ht="38.25">
      <c r="A143" s="42" t="s">
        <v>27</v>
      </c>
      <c r="B143" s="50" t="s">
        <v>47</v>
      </c>
      <c r="C143" s="33">
        <v>2220</v>
      </c>
      <c r="D143" s="20">
        <f>48832.99+2236.98+29283.58+14298.1+6656.8</f>
        <v>101308.45000000001</v>
      </c>
      <c r="E143" s="27" t="s">
        <v>15</v>
      </c>
      <c r="F143" s="33"/>
      <c r="G143" s="75"/>
      <c r="H143" s="34"/>
      <c r="I143" s="40" t="s">
        <v>16</v>
      </c>
    </row>
    <row r="144" spans="1:9" ht="33.75" customHeight="1">
      <c r="A144" s="22" t="s">
        <v>125</v>
      </c>
      <c r="B144" s="50" t="s">
        <v>126</v>
      </c>
      <c r="C144" s="33">
        <v>2220</v>
      </c>
      <c r="D144" s="20">
        <f>58000-14000-2236.98--1370.48-29283.58-6361.3-7488.62+2740.96-2740.96+622.68+10276.62</f>
        <v>10899.3</v>
      </c>
      <c r="E144" s="27" t="s">
        <v>15</v>
      </c>
      <c r="F144" s="33" t="s">
        <v>110</v>
      </c>
      <c r="G144" s="28" t="s">
        <v>130</v>
      </c>
      <c r="H144" s="34">
        <v>10276.62</v>
      </c>
      <c r="I144" s="40" t="s">
        <v>16</v>
      </c>
    </row>
    <row r="145" spans="1:9" ht="31.5">
      <c r="A145" s="51" t="s">
        <v>92</v>
      </c>
      <c r="B145" s="52" t="s">
        <v>93</v>
      </c>
      <c r="C145" s="37">
        <v>2230</v>
      </c>
      <c r="D145" s="20">
        <f>11700-3914</f>
        <v>7786</v>
      </c>
      <c r="E145" s="27" t="s">
        <v>15</v>
      </c>
      <c r="F145" s="33"/>
      <c r="G145" s="28" t="s">
        <v>118</v>
      </c>
      <c r="H145" s="20"/>
      <c r="I145" s="63" t="s">
        <v>16</v>
      </c>
    </row>
    <row r="146" spans="1:9" ht="31.5">
      <c r="A146" s="51" t="s">
        <v>92</v>
      </c>
      <c r="B146" s="52" t="s">
        <v>93</v>
      </c>
      <c r="C146" s="37">
        <v>2230</v>
      </c>
      <c r="D146" s="20">
        <f>80285-25117.93-350-24336-7297.49</f>
        <v>23183.58</v>
      </c>
      <c r="E146" s="27" t="s">
        <v>15</v>
      </c>
      <c r="F146" s="33"/>
      <c r="G146" s="28"/>
      <c r="H146" s="20"/>
      <c r="I146" s="63" t="s">
        <v>16</v>
      </c>
    </row>
    <row r="147" spans="1:9" ht="47.25">
      <c r="A147" s="35" t="s">
        <v>74</v>
      </c>
      <c r="B147" s="52" t="s">
        <v>75</v>
      </c>
      <c r="C147" s="37">
        <v>2230</v>
      </c>
      <c r="D147" s="20">
        <f>340-210</f>
        <v>130</v>
      </c>
      <c r="E147" s="27" t="s">
        <v>15</v>
      </c>
      <c r="F147" s="33"/>
      <c r="G147" s="28"/>
      <c r="H147" s="20"/>
      <c r="I147" s="63" t="s">
        <v>16</v>
      </c>
    </row>
    <row r="148" spans="1:9" ht="31.5">
      <c r="A148" s="35" t="s">
        <v>170</v>
      </c>
      <c r="B148" s="52" t="s">
        <v>171</v>
      </c>
      <c r="C148" s="37">
        <v>2230</v>
      </c>
      <c r="D148" s="20">
        <v>800</v>
      </c>
      <c r="E148" s="27" t="s">
        <v>15</v>
      </c>
      <c r="F148" s="33"/>
      <c r="G148" s="28" t="s">
        <v>118</v>
      </c>
      <c r="H148" s="20"/>
      <c r="I148" s="63" t="s">
        <v>16</v>
      </c>
    </row>
    <row r="149" spans="1:9" ht="31.5">
      <c r="A149" s="35" t="s">
        <v>170</v>
      </c>
      <c r="B149" s="52" t="s">
        <v>171</v>
      </c>
      <c r="C149" s="37">
        <v>2230</v>
      </c>
      <c r="D149" s="20">
        <f>2276-782</f>
        <v>1494</v>
      </c>
      <c r="E149" s="27" t="s">
        <v>15</v>
      </c>
      <c r="F149" s="33"/>
      <c r="G149" s="28"/>
      <c r="H149" s="20"/>
      <c r="I149" s="63" t="s">
        <v>16</v>
      </c>
    </row>
    <row r="150" spans="1:9" ht="47.25">
      <c r="A150" s="35" t="s">
        <v>94</v>
      </c>
      <c r="B150" s="52" t="s">
        <v>95</v>
      </c>
      <c r="C150" s="37">
        <v>2230</v>
      </c>
      <c r="D150" s="20">
        <f>1500+1444.2+2100-7.86-50.64</f>
        <v>4985.7</v>
      </c>
      <c r="E150" s="27" t="s">
        <v>15</v>
      </c>
      <c r="F150" s="33"/>
      <c r="G150" s="28"/>
      <c r="H150" s="20"/>
      <c r="I150" s="63" t="s">
        <v>16</v>
      </c>
    </row>
    <row r="151" spans="1:9" ht="31.5">
      <c r="A151" s="35" t="s">
        <v>62</v>
      </c>
      <c r="B151" s="52" t="s">
        <v>63</v>
      </c>
      <c r="C151" s="37">
        <v>2230</v>
      </c>
      <c r="D151" s="20">
        <v>900</v>
      </c>
      <c r="E151" s="27" t="s">
        <v>15</v>
      </c>
      <c r="F151" s="33"/>
      <c r="G151" s="28" t="s">
        <v>118</v>
      </c>
      <c r="H151" s="20"/>
      <c r="I151" s="63" t="s">
        <v>16</v>
      </c>
    </row>
    <row r="152" spans="1:9" ht="31.5">
      <c r="A152" s="35" t="s">
        <v>62</v>
      </c>
      <c r="B152" s="52" t="s">
        <v>63</v>
      </c>
      <c r="C152" s="37">
        <v>2230</v>
      </c>
      <c r="D152" s="20">
        <f>3600-255.2</f>
        <v>3344.8</v>
      </c>
      <c r="E152" s="27" t="s">
        <v>15</v>
      </c>
      <c r="F152" s="33"/>
      <c r="G152" s="28"/>
      <c r="H152" s="20"/>
      <c r="I152" s="63" t="s">
        <v>16</v>
      </c>
    </row>
    <row r="153" spans="1:9" ht="31.5">
      <c r="A153" s="76" t="s">
        <v>96</v>
      </c>
      <c r="B153" s="36" t="s">
        <v>97</v>
      </c>
      <c r="C153" s="37">
        <v>2230</v>
      </c>
      <c r="D153" s="77">
        <f>4500-1680</f>
        <v>2820</v>
      </c>
      <c r="E153" s="27" t="s">
        <v>15</v>
      </c>
      <c r="F153" s="33"/>
      <c r="G153" s="28"/>
      <c r="H153" s="77"/>
      <c r="I153" s="63" t="s">
        <v>16</v>
      </c>
    </row>
    <row r="154" spans="1:9" ht="31.5">
      <c r="A154" s="35" t="s">
        <v>84</v>
      </c>
      <c r="B154" s="52" t="s">
        <v>85</v>
      </c>
      <c r="C154" s="37">
        <v>2230</v>
      </c>
      <c r="D154" s="20">
        <f>30000-727.2-8466-8947.57</f>
        <v>11859.23</v>
      </c>
      <c r="E154" s="27" t="s">
        <v>15</v>
      </c>
      <c r="F154" s="33"/>
      <c r="G154" s="28"/>
      <c r="H154" s="20"/>
      <c r="I154" s="63" t="s">
        <v>16</v>
      </c>
    </row>
    <row r="155" spans="1:9" ht="31.5">
      <c r="A155" s="35" t="s">
        <v>84</v>
      </c>
      <c r="B155" s="52" t="s">
        <v>85</v>
      </c>
      <c r="C155" s="37">
        <v>2230</v>
      </c>
      <c r="D155" s="20">
        <v>8000</v>
      </c>
      <c r="E155" s="27" t="s">
        <v>15</v>
      </c>
      <c r="F155" s="33"/>
      <c r="G155" s="28" t="s">
        <v>118</v>
      </c>
      <c r="H155" s="20"/>
      <c r="I155" s="63" t="s">
        <v>16</v>
      </c>
    </row>
    <row r="156" spans="1:9" ht="31.5">
      <c r="A156" s="25" t="s">
        <v>13</v>
      </c>
      <c r="B156" s="26" t="s">
        <v>14</v>
      </c>
      <c r="C156" s="37">
        <v>2210</v>
      </c>
      <c r="D156" s="21">
        <v>600</v>
      </c>
      <c r="E156" s="27" t="s">
        <v>15</v>
      </c>
      <c r="F156" s="37"/>
      <c r="G156" s="28"/>
      <c r="H156" s="21"/>
      <c r="I156" s="63" t="s">
        <v>172</v>
      </c>
    </row>
    <row r="157" spans="1:9" ht="31.5">
      <c r="A157" s="25" t="s">
        <v>173</v>
      </c>
      <c r="B157" s="26" t="s">
        <v>174</v>
      </c>
      <c r="C157" s="37">
        <v>2210</v>
      </c>
      <c r="D157" s="21">
        <v>161</v>
      </c>
      <c r="E157" s="27" t="s">
        <v>15</v>
      </c>
      <c r="F157" s="37"/>
      <c r="G157" s="28"/>
      <c r="H157" s="21"/>
      <c r="I157" s="63" t="s">
        <v>172</v>
      </c>
    </row>
    <row r="158" spans="1:9" ht="22.5">
      <c r="A158" s="42" t="s">
        <v>175</v>
      </c>
      <c r="B158" s="43" t="s">
        <v>176</v>
      </c>
      <c r="C158" s="37">
        <v>2210</v>
      </c>
      <c r="D158" s="21">
        <v>2700</v>
      </c>
      <c r="E158" s="27" t="s">
        <v>15</v>
      </c>
      <c r="F158" s="37"/>
      <c r="G158" s="28"/>
      <c r="H158" s="21"/>
      <c r="I158" s="63" t="s">
        <v>172</v>
      </c>
    </row>
    <row r="159" spans="1:9" ht="25.5">
      <c r="A159" s="42" t="s">
        <v>177</v>
      </c>
      <c r="B159" s="44" t="s">
        <v>178</v>
      </c>
      <c r="C159" s="37">
        <v>2210</v>
      </c>
      <c r="D159" s="21">
        <f>988.5+182+119+64</f>
        <v>1353.5</v>
      </c>
      <c r="E159" s="27" t="s">
        <v>15</v>
      </c>
      <c r="F159" s="37"/>
      <c r="G159" s="67"/>
      <c r="H159" s="21"/>
      <c r="I159" s="63" t="s">
        <v>172</v>
      </c>
    </row>
    <row r="160" spans="1:9" ht="63">
      <c r="A160" s="42" t="s">
        <v>179</v>
      </c>
      <c r="B160" s="43" t="s">
        <v>180</v>
      </c>
      <c r="C160" s="37">
        <v>2210</v>
      </c>
      <c r="D160" s="21">
        <f>40.45+39</f>
        <v>79.45</v>
      </c>
      <c r="E160" s="27" t="s">
        <v>15</v>
      </c>
      <c r="F160" s="37"/>
      <c r="G160" s="28"/>
      <c r="H160" s="21"/>
      <c r="I160" s="63" t="s">
        <v>172</v>
      </c>
    </row>
    <row r="161" spans="1:9" ht="25.5">
      <c r="A161" s="42" t="s">
        <v>181</v>
      </c>
      <c r="B161" s="44" t="s">
        <v>182</v>
      </c>
      <c r="C161" s="37">
        <v>2210</v>
      </c>
      <c r="D161" s="21">
        <v>73.05</v>
      </c>
      <c r="E161" s="27" t="s">
        <v>15</v>
      </c>
      <c r="F161" s="37"/>
      <c r="G161" s="28"/>
      <c r="H161" s="21"/>
      <c r="I161" s="63" t="s">
        <v>172</v>
      </c>
    </row>
    <row r="162" spans="1:9" ht="31.5">
      <c r="A162" s="42" t="s">
        <v>183</v>
      </c>
      <c r="B162" s="43" t="s">
        <v>184</v>
      </c>
      <c r="C162" s="37">
        <v>2210</v>
      </c>
      <c r="D162" s="21">
        <v>22</v>
      </c>
      <c r="E162" s="27" t="s">
        <v>15</v>
      </c>
      <c r="F162" s="37"/>
      <c r="G162" s="28"/>
      <c r="H162" s="21"/>
      <c r="I162" s="63" t="s">
        <v>172</v>
      </c>
    </row>
    <row r="163" spans="1:9" ht="22.5">
      <c r="A163" s="42" t="s">
        <v>185</v>
      </c>
      <c r="B163" s="43" t="s">
        <v>186</v>
      </c>
      <c r="C163" s="37">
        <v>2210</v>
      </c>
      <c r="D163" s="21">
        <v>230</v>
      </c>
      <c r="E163" s="27" t="s">
        <v>15</v>
      </c>
      <c r="F163" s="37"/>
      <c r="G163" s="28"/>
      <c r="H163" s="21"/>
      <c r="I163" s="63" t="s">
        <v>172</v>
      </c>
    </row>
    <row r="164" spans="1:9" ht="47.25">
      <c r="A164" s="42" t="s">
        <v>187</v>
      </c>
      <c r="B164" s="43" t="s">
        <v>188</v>
      </c>
      <c r="C164" s="37">
        <v>2210</v>
      </c>
      <c r="D164" s="21">
        <f>244.8</f>
        <v>244.8</v>
      </c>
      <c r="E164" s="27" t="s">
        <v>15</v>
      </c>
      <c r="F164" s="37"/>
      <c r="G164" s="28"/>
      <c r="H164" s="21"/>
      <c r="I164" s="63" t="s">
        <v>172</v>
      </c>
    </row>
    <row r="165" spans="1:9" ht="31.5">
      <c r="A165" s="42" t="s">
        <v>189</v>
      </c>
      <c r="B165" s="43" t="s">
        <v>190</v>
      </c>
      <c r="C165" s="37">
        <v>2210</v>
      </c>
      <c r="D165" s="21">
        <v>826.5</v>
      </c>
      <c r="E165" s="27" t="s">
        <v>15</v>
      </c>
      <c r="F165" s="37"/>
      <c r="G165" s="28"/>
      <c r="H165" s="21"/>
      <c r="I165" s="63" t="s">
        <v>172</v>
      </c>
    </row>
    <row r="166" spans="1:9" ht="47.25">
      <c r="A166" s="42" t="s">
        <v>191</v>
      </c>
      <c r="B166" s="43" t="s">
        <v>192</v>
      </c>
      <c r="C166" s="37">
        <v>2210</v>
      </c>
      <c r="D166" s="21">
        <f>300+7996.15</f>
        <v>8296.15</v>
      </c>
      <c r="E166" s="27" t="s">
        <v>15</v>
      </c>
      <c r="F166" s="37"/>
      <c r="G166" s="28"/>
      <c r="H166" s="21"/>
      <c r="I166" s="63" t="s">
        <v>172</v>
      </c>
    </row>
    <row r="167" spans="1:9" ht="31.5">
      <c r="A167" s="78" t="s">
        <v>122</v>
      </c>
      <c r="B167" s="79" t="s">
        <v>123</v>
      </c>
      <c r="C167" s="80">
        <v>2210</v>
      </c>
      <c r="D167" s="81">
        <f>7874.11+1253.7+4646.02+3999.58+1562.95+4933.2+1580.88+5076</f>
        <v>30926.440000000002</v>
      </c>
      <c r="E167" s="27" t="s">
        <v>15</v>
      </c>
      <c r="F167" s="80" t="s">
        <v>124</v>
      </c>
      <c r="G167" s="67"/>
      <c r="H167" s="81"/>
      <c r="I167" s="82" t="s">
        <v>172</v>
      </c>
    </row>
    <row r="168" spans="1:9" ht="31.5">
      <c r="A168" s="42" t="s">
        <v>193</v>
      </c>
      <c r="B168" s="43" t="s">
        <v>194</v>
      </c>
      <c r="C168" s="37">
        <v>2210</v>
      </c>
      <c r="D168" s="21">
        <v>388</v>
      </c>
      <c r="E168" s="27" t="s">
        <v>15</v>
      </c>
      <c r="F168" s="37"/>
      <c r="G168" s="28"/>
      <c r="H168" s="21"/>
      <c r="I168" s="63" t="s">
        <v>172</v>
      </c>
    </row>
    <row r="169" spans="1:9" ht="31.5">
      <c r="A169" s="42" t="s">
        <v>195</v>
      </c>
      <c r="B169" s="43" t="s">
        <v>196</v>
      </c>
      <c r="C169" s="37">
        <v>2210</v>
      </c>
      <c r="D169" s="21">
        <v>18</v>
      </c>
      <c r="E169" s="27" t="s">
        <v>15</v>
      </c>
      <c r="F169" s="37"/>
      <c r="G169" s="28"/>
      <c r="H169" s="21"/>
      <c r="I169" s="63" t="s">
        <v>172</v>
      </c>
    </row>
    <row r="170" spans="1:9" ht="60">
      <c r="A170" s="42" t="s">
        <v>197</v>
      </c>
      <c r="B170" s="74" t="s">
        <v>198</v>
      </c>
      <c r="C170" s="37">
        <v>2210</v>
      </c>
      <c r="D170" s="21">
        <v>55.2</v>
      </c>
      <c r="E170" s="27" t="s">
        <v>15</v>
      </c>
      <c r="F170" s="37"/>
      <c r="G170" s="28"/>
      <c r="H170" s="21"/>
      <c r="I170" s="63" t="s">
        <v>172</v>
      </c>
    </row>
    <row r="171" spans="1:9" ht="31.5">
      <c r="A171" s="30" t="s">
        <v>17</v>
      </c>
      <c r="B171" s="31" t="s">
        <v>18</v>
      </c>
      <c r="C171" s="37">
        <v>2210</v>
      </c>
      <c r="D171" s="21">
        <f>6593.7+2740.5+4793.88+1999.44+4682.52+28</f>
        <v>20838.04</v>
      </c>
      <c r="E171" s="27" t="s">
        <v>15</v>
      </c>
      <c r="F171" s="37"/>
      <c r="G171" s="67"/>
      <c r="H171" s="21"/>
      <c r="I171" s="63" t="s">
        <v>172</v>
      </c>
    </row>
    <row r="172" spans="1:9" ht="22.5">
      <c r="A172" s="83" t="s">
        <v>199</v>
      </c>
      <c r="B172" s="84" t="s">
        <v>200</v>
      </c>
      <c r="C172" s="80">
        <v>2210</v>
      </c>
      <c r="D172" s="81">
        <v>792</v>
      </c>
      <c r="E172" s="27" t="s">
        <v>15</v>
      </c>
      <c r="F172" s="80"/>
      <c r="G172" s="67"/>
      <c r="H172" s="81"/>
      <c r="I172" s="82" t="s">
        <v>172</v>
      </c>
    </row>
    <row r="173" spans="1:9" ht="31.5">
      <c r="A173" s="71" t="s">
        <v>35</v>
      </c>
      <c r="B173" s="85" t="s">
        <v>201</v>
      </c>
      <c r="C173" s="80">
        <v>2210</v>
      </c>
      <c r="D173" s="81">
        <v>1576.8</v>
      </c>
      <c r="E173" s="27" t="s">
        <v>15</v>
      </c>
      <c r="F173" s="80"/>
      <c r="G173" s="67"/>
      <c r="H173" s="81"/>
      <c r="I173" s="82" t="s">
        <v>172</v>
      </c>
    </row>
    <row r="174" spans="1:9" ht="31.5">
      <c r="A174" s="30" t="s">
        <v>145</v>
      </c>
      <c r="B174" s="31" t="s">
        <v>202</v>
      </c>
      <c r="C174" s="37">
        <v>2210</v>
      </c>
      <c r="D174" s="21">
        <f>10750-104.28</f>
        <v>10645.72</v>
      </c>
      <c r="E174" s="27" t="s">
        <v>15</v>
      </c>
      <c r="F174" s="37"/>
      <c r="G174" s="67"/>
      <c r="H174" s="21"/>
      <c r="I174" s="63" t="s">
        <v>172</v>
      </c>
    </row>
    <row r="175" spans="1:9" ht="25.5">
      <c r="A175" s="86" t="s">
        <v>203</v>
      </c>
      <c r="B175" s="32" t="s">
        <v>204</v>
      </c>
      <c r="C175" s="37">
        <v>2210</v>
      </c>
      <c r="D175" s="21">
        <f>5340+1275</f>
        <v>6615</v>
      </c>
      <c r="E175" s="27" t="s">
        <v>15</v>
      </c>
      <c r="F175" s="37"/>
      <c r="G175" s="28"/>
      <c r="H175" s="21"/>
      <c r="I175" s="63" t="s">
        <v>172</v>
      </c>
    </row>
    <row r="176" spans="1:9" ht="25.5">
      <c r="A176" s="86" t="s">
        <v>205</v>
      </c>
      <c r="B176" s="32" t="s">
        <v>206</v>
      </c>
      <c r="C176" s="37">
        <v>2210</v>
      </c>
      <c r="D176" s="21">
        <v>294</v>
      </c>
      <c r="E176" s="27" t="s">
        <v>15</v>
      </c>
      <c r="F176" s="37"/>
      <c r="G176" s="28"/>
      <c r="H176" s="21"/>
      <c r="I176" s="82" t="s">
        <v>172</v>
      </c>
    </row>
    <row r="177" spans="1:9" ht="31.5">
      <c r="A177" s="30" t="s">
        <v>120</v>
      </c>
      <c r="B177" s="31" t="s">
        <v>121</v>
      </c>
      <c r="C177" s="37">
        <v>2210</v>
      </c>
      <c r="D177" s="21">
        <f>699.4+69</f>
        <v>768.4</v>
      </c>
      <c r="E177" s="27" t="s">
        <v>15</v>
      </c>
      <c r="F177" s="37"/>
      <c r="G177" s="28"/>
      <c r="H177" s="21"/>
      <c r="I177" s="63" t="s">
        <v>172</v>
      </c>
    </row>
    <row r="178" spans="1:9" ht="22.5">
      <c r="A178" s="30" t="s">
        <v>139</v>
      </c>
      <c r="B178" s="31" t="s">
        <v>207</v>
      </c>
      <c r="C178" s="37">
        <v>2210</v>
      </c>
      <c r="D178" s="21">
        <f>2580+10-10</f>
        <v>2580</v>
      </c>
      <c r="E178" s="27" t="s">
        <v>15</v>
      </c>
      <c r="F178" s="37"/>
      <c r="G178" s="67"/>
      <c r="H178" s="21"/>
      <c r="I178" s="63" t="s">
        <v>172</v>
      </c>
    </row>
    <row r="179" spans="1:9" ht="47.25">
      <c r="A179" s="42" t="s">
        <v>208</v>
      </c>
      <c r="B179" s="43" t="s">
        <v>209</v>
      </c>
      <c r="C179" s="37">
        <v>2210</v>
      </c>
      <c r="D179" s="21">
        <f>1440+3096+7839.94+1650+1590+957.6</f>
        <v>16573.539999999997</v>
      </c>
      <c r="E179" s="27" t="s">
        <v>15</v>
      </c>
      <c r="F179" s="37"/>
      <c r="G179" s="28"/>
      <c r="H179" s="21"/>
      <c r="I179" s="63" t="s">
        <v>172</v>
      </c>
    </row>
    <row r="180" spans="1:9" ht="22.5">
      <c r="A180" s="25" t="s">
        <v>64</v>
      </c>
      <c r="B180" s="26" t="s">
        <v>210</v>
      </c>
      <c r="C180" s="37">
        <v>2210</v>
      </c>
      <c r="D180" s="21">
        <v>705</v>
      </c>
      <c r="E180" s="27" t="s">
        <v>15</v>
      </c>
      <c r="F180" s="37"/>
      <c r="G180" s="28"/>
      <c r="H180" s="21"/>
      <c r="I180" s="63" t="s">
        <v>172</v>
      </c>
    </row>
    <row r="181" spans="1:9" ht="47.25">
      <c r="A181" s="25" t="s">
        <v>211</v>
      </c>
      <c r="B181" s="26" t="s">
        <v>212</v>
      </c>
      <c r="C181" s="37">
        <v>2210</v>
      </c>
      <c r="D181" s="21">
        <v>762.11</v>
      </c>
      <c r="E181" s="27" t="s">
        <v>15</v>
      </c>
      <c r="F181" s="37"/>
      <c r="G181" s="28"/>
      <c r="H181" s="21"/>
      <c r="I181" s="63" t="s">
        <v>172</v>
      </c>
    </row>
    <row r="182" spans="1:9" ht="31.5">
      <c r="A182" s="25" t="s">
        <v>213</v>
      </c>
      <c r="B182" s="26" t="s">
        <v>214</v>
      </c>
      <c r="C182" s="37">
        <v>2210</v>
      </c>
      <c r="D182" s="21">
        <v>308.5</v>
      </c>
      <c r="E182" s="27" t="s">
        <v>15</v>
      </c>
      <c r="F182" s="37"/>
      <c r="G182" s="67"/>
      <c r="H182" s="21"/>
      <c r="I182" s="63" t="s">
        <v>172</v>
      </c>
    </row>
    <row r="183" spans="1:9" ht="47.25">
      <c r="A183" s="25" t="s">
        <v>215</v>
      </c>
      <c r="B183" s="26" t="s">
        <v>216</v>
      </c>
      <c r="C183" s="37">
        <v>2210</v>
      </c>
      <c r="D183" s="21">
        <f>399+191.2</f>
        <v>590.2</v>
      </c>
      <c r="E183" s="27" t="s">
        <v>15</v>
      </c>
      <c r="F183" s="37"/>
      <c r="G183" s="28"/>
      <c r="H183" s="21"/>
      <c r="I183" s="63" t="s">
        <v>172</v>
      </c>
    </row>
    <row r="184" spans="1:9" ht="63">
      <c r="A184" s="25" t="s">
        <v>179</v>
      </c>
      <c r="B184" s="26" t="s">
        <v>217</v>
      </c>
      <c r="C184" s="37">
        <v>2210</v>
      </c>
      <c r="D184" s="21">
        <v>134</v>
      </c>
      <c r="E184" s="27" t="s">
        <v>15</v>
      </c>
      <c r="F184" s="37"/>
      <c r="G184" s="67"/>
      <c r="H184" s="21"/>
      <c r="I184" s="63" t="s">
        <v>172</v>
      </c>
    </row>
    <row r="185" spans="1:9" ht="47.25">
      <c r="A185" s="25" t="s">
        <v>218</v>
      </c>
      <c r="B185" s="87" t="s">
        <v>219</v>
      </c>
      <c r="C185" s="37">
        <v>2210</v>
      </c>
      <c r="D185" s="21">
        <v>74</v>
      </c>
      <c r="E185" s="27" t="s">
        <v>15</v>
      </c>
      <c r="F185" s="37"/>
      <c r="G185" s="28"/>
      <c r="H185" s="21"/>
      <c r="I185" s="63" t="s">
        <v>172</v>
      </c>
    </row>
    <row r="186" spans="1:9" ht="22.5">
      <c r="A186" s="30" t="s">
        <v>166</v>
      </c>
      <c r="B186" s="31" t="s">
        <v>220</v>
      </c>
      <c r="C186" s="37">
        <v>2210</v>
      </c>
      <c r="D186" s="21">
        <v>1128.6</v>
      </c>
      <c r="E186" s="27" t="s">
        <v>15</v>
      </c>
      <c r="F186" s="37"/>
      <c r="G186" s="28"/>
      <c r="H186" s="21"/>
      <c r="I186" s="63" t="s">
        <v>172</v>
      </c>
    </row>
    <row r="187" spans="1:9" ht="22.5">
      <c r="A187" s="78" t="s">
        <v>199</v>
      </c>
      <c r="B187" s="84" t="s">
        <v>200</v>
      </c>
      <c r="C187" s="80">
        <v>2220</v>
      </c>
      <c r="D187" s="81">
        <f>4500+428.55</f>
        <v>4928.55</v>
      </c>
      <c r="E187" s="27" t="s">
        <v>15</v>
      </c>
      <c r="F187" s="80"/>
      <c r="G187" s="67"/>
      <c r="H187" s="81"/>
      <c r="I187" s="82" t="s">
        <v>172</v>
      </c>
    </row>
    <row r="188" spans="1:9" ht="25.5">
      <c r="A188" s="78" t="s">
        <v>137</v>
      </c>
      <c r="B188" s="88" t="s">
        <v>138</v>
      </c>
      <c r="C188" s="80">
        <v>2220</v>
      </c>
      <c r="D188" s="81">
        <f>3700+10143.84+2748</f>
        <v>16591.84</v>
      </c>
      <c r="E188" s="27" t="s">
        <v>15</v>
      </c>
      <c r="F188" s="80" t="s">
        <v>124</v>
      </c>
      <c r="G188" s="67"/>
      <c r="H188" s="81"/>
      <c r="I188" s="82" t="s">
        <v>172</v>
      </c>
    </row>
    <row r="189" spans="1:9" ht="38.25">
      <c r="A189" s="89" t="s">
        <v>41</v>
      </c>
      <c r="B189" s="88" t="s">
        <v>221</v>
      </c>
      <c r="C189" s="80">
        <v>2220</v>
      </c>
      <c r="D189" s="81">
        <f>1140+1386+1592.16</f>
        <v>4118.16</v>
      </c>
      <c r="E189" s="27" t="s">
        <v>15</v>
      </c>
      <c r="F189" s="80"/>
      <c r="G189" s="67"/>
      <c r="H189" s="81"/>
      <c r="I189" s="82" t="s">
        <v>172</v>
      </c>
    </row>
    <row r="190" spans="1:9" ht="25.5">
      <c r="A190" s="91" t="s">
        <v>35</v>
      </c>
      <c r="B190" s="92" t="s">
        <v>36</v>
      </c>
      <c r="C190" s="80">
        <v>2220</v>
      </c>
      <c r="D190" s="81">
        <f>6475.01+7527.27+3980+6532.09</f>
        <v>24514.37</v>
      </c>
      <c r="E190" s="27" t="s">
        <v>15</v>
      </c>
      <c r="F190" s="80"/>
      <c r="G190" s="28"/>
      <c r="H190" s="81"/>
      <c r="I190" s="82" t="s">
        <v>172</v>
      </c>
    </row>
    <row r="191" spans="1:9" ht="25.5">
      <c r="A191" s="22" t="s">
        <v>125</v>
      </c>
      <c r="B191" s="50" t="s">
        <v>126</v>
      </c>
      <c r="C191" s="37">
        <v>2220</v>
      </c>
      <c r="D191" s="21">
        <f>10084.5+10790.42+7118.5</f>
        <v>27993.42</v>
      </c>
      <c r="E191" s="27" t="s">
        <v>15</v>
      </c>
      <c r="F191" s="37"/>
      <c r="G191" s="28"/>
      <c r="H191" s="21"/>
      <c r="I191" s="63" t="s">
        <v>172</v>
      </c>
    </row>
    <row r="192" spans="1:9" ht="38.25">
      <c r="A192" s="39" t="s">
        <v>21</v>
      </c>
      <c r="B192" s="59" t="s">
        <v>222</v>
      </c>
      <c r="C192" s="37">
        <v>2220</v>
      </c>
      <c r="D192" s="21">
        <f>307.5+12506.2+1234+5677+2940+5056.37+3861.6</f>
        <v>31582.67</v>
      </c>
      <c r="E192" s="27" t="s">
        <v>15</v>
      </c>
      <c r="F192" s="37"/>
      <c r="G192" s="67"/>
      <c r="H192" s="21"/>
      <c r="I192" s="63" t="s">
        <v>172</v>
      </c>
    </row>
    <row r="193" spans="1:9" ht="25.5">
      <c r="A193" s="39" t="s">
        <v>13</v>
      </c>
      <c r="B193" s="59" t="s">
        <v>19</v>
      </c>
      <c r="C193" s="37">
        <v>2220</v>
      </c>
      <c r="D193" s="21">
        <f>7715+8057.59+4530.38+14757.45</f>
        <v>35060.42</v>
      </c>
      <c r="E193" s="27" t="s">
        <v>15</v>
      </c>
      <c r="F193" s="37" t="s">
        <v>110</v>
      </c>
      <c r="G193" s="67" t="s">
        <v>144</v>
      </c>
      <c r="H193" s="21">
        <v>14757.45</v>
      </c>
      <c r="I193" s="63" t="s">
        <v>172</v>
      </c>
    </row>
    <row r="194" spans="1:9" ht="22.5">
      <c r="A194" s="39" t="s">
        <v>25</v>
      </c>
      <c r="B194" s="59" t="s">
        <v>26</v>
      </c>
      <c r="C194" s="37">
        <v>2220</v>
      </c>
      <c r="D194" s="21">
        <f>185.3+3988.45+27942.61+5614.72+4000</f>
        <v>41731.08</v>
      </c>
      <c r="E194" s="27" t="s">
        <v>15</v>
      </c>
      <c r="F194" s="37" t="s">
        <v>124</v>
      </c>
      <c r="G194" s="67"/>
      <c r="H194" s="21"/>
      <c r="I194" s="63" t="s">
        <v>172</v>
      </c>
    </row>
    <row r="195" spans="1:9" ht="38.25">
      <c r="A195" s="39" t="s">
        <v>27</v>
      </c>
      <c r="B195" s="59" t="s">
        <v>28</v>
      </c>
      <c r="C195" s="37">
        <v>2220</v>
      </c>
      <c r="D195" s="21">
        <f>9000+3966.4+3778</f>
        <v>16744.4</v>
      </c>
      <c r="E195" s="27" t="s">
        <v>15</v>
      </c>
      <c r="F195" s="37"/>
      <c r="G195" s="28"/>
      <c r="H195" s="21"/>
      <c r="I195" s="63" t="s">
        <v>172</v>
      </c>
    </row>
    <row r="196" spans="1:9" ht="25.5">
      <c r="A196" s="91" t="s">
        <v>37</v>
      </c>
      <c r="B196" s="92" t="s">
        <v>38</v>
      </c>
      <c r="C196" s="80">
        <v>2220</v>
      </c>
      <c r="D196" s="81">
        <f>11800+6550+8990</f>
        <v>27340</v>
      </c>
      <c r="E196" s="27" t="s">
        <v>15</v>
      </c>
      <c r="F196" s="80"/>
      <c r="G196" s="67"/>
      <c r="H196" s="81"/>
      <c r="I196" s="82" t="s">
        <v>172</v>
      </c>
    </row>
    <row r="197" spans="1:9" ht="22.5">
      <c r="A197" s="39" t="s">
        <v>134</v>
      </c>
      <c r="B197" s="59" t="s">
        <v>135</v>
      </c>
      <c r="C197" s="37">
        <v>2220</v>
      </c>
      <c r="D197" s="21">
        <v>152.36</v>
      </c>
      <c r="E197" s="27" t="s">
        <v>15</v>
      </c>
      <c r="F197" s="37"/>
      <c r="G197" s="28"/>
      <c r="H197" s="21"/>
      <c r="I197" s="63" t="s">
        <v>172</v>
      </c>
    </row>
    <row r="198" spans="1:9" ht="22.5">
      <c r="A198" s="91" t="s">
        <v>139</v>
      </c>
      <c r="B198" s="92" t="s">
        <v>140</v>
      </c>
      <c r="C198" s="80">
        <v>2220</v>
      </c>
      <c r="D198" s="81">
        <v>3699.29</v>
      </c>
      <c r="E198" s="27" t="s">
        <v>15</v>
      </c>
      <c r="F198" s="80"/>
      <c r="G198" s="67"/>
      <c r="H198" s="81"/>
      <c r="I198" s="82" t="s">
        <v>172</v>
      </c>
    </row>
    <row r="199" spans="1:9" ht="25.5">
      <c r="A199" s="30" t="s">
        <v>48</v>
      </c>
      <c r="B199" s="32" t="s">
        <v>49</v>
      </c>
      <c r="C199" s="37">
        <v>2220</v>
      </c>
      <c r="D199" s="21">
        <v>1434.7</v>
      </c>
      <c r="E199" s="27" t="s">
        <v>15</v>
      </c>
      <c r="F199" s="37"/>
      <c r="G199" s="28"/>
      <c r="H199" s="21"/>
      <c r="I199" s="63" t="s">
        <v>172</v>
      </c>
    </row>
    <row r="200" spans="1:9" ht="47.25">
      <c r="A200" s="89" t="s">
        <v>162</v>
      </c>
      <c r="B200" s="79" t="s">
        <v>163</v>
      </c>
      <c r="C200" s="80">
        <v>2220</v>
      </c>
      <c r="D200" s="81">
        <f>1476.6+1396.32</f>
        <v>2872.92</v>
      </c>
      <c r="E200" s="27" t="s">
        <v>15</v>
      </c>
      <c r="F200" s="80"/>
      <c r="G200" s="28"/>
      <c r="H200" s="81"/>
      <c r="I200" s="49" t="s">
        <v>119</v>
      </c>
    </row>
    <row r="201" spans="1:9" ht="47.25">
      <c r="A201" s="89" t="s">
        <v>162</v>
      </c>
      <c r="B201" s="79" t="s">
        <v>163</v>
      </c>
      <c r="C201" s="80">
        <v>2220</v>
      </c>
      <c r="D201" s="81">
        <f>851+975+117</f>
        <v>1943</v>
      </c>
      <c r="E201" s="27" t="s">
        <v>15</v>
      </c>
      <c r="F201" s="80"/>
      <c r="G201" s="67"/>
      <c r="H201" s="81"/>
      <c r="I201" s="82" t="s">
        <v>172</v>
      </c>
    </row>
    <row r="202" spans="1:9" ht="51">
      <c r="A202" s="78" t="s">
        <v>131</v>
      </c>
      <c r="B202" s="90" t="s">
        <v>132</v>
      </c>
      <c r="C202" s="80">
        <v>2220</v>
      </c>
      <c r="D202" s="81">
        <v>327</v>
      </c>
      <c r="E202" s="27" t="s">
        <v>15</v>
      </c>
      <c r="F202" s="80"/>
      <c r="G202" s="67"/>
      <c r="H202" s="81"/>
      <c r="I202" s="82" t="s">
        <v>172</v>
      </c>
    </row>
    <row r="203" spans="1:9" ht="25.5">
      <c r="A203" s="21" t="s">
        <v>141</v>
      </c>
      <c r="B203" s="64" t="s">
        <v>142</v>
      </c>
      <c r="C203" s="33">
        <v>2220</v>
      </c>
      <c r="D203" s="21">
        <v>50</v>
      </c>
      <c r="E203" s="27" t="s">
        <v>15</v>
      </c>
      <c r="F203" s="33"/>
      <c r="G203" s="67"/>
      <c r="H203" s="21"/>
      <c r="I203" s="63" t="s">
        <v>172</v>
      </c>
    </row>
    <row r="204" spans="1:9" ht="51">
      <c r="A204" s="83" t="s">
        <v>31</v>
      </c>
      <c r="B204" s="90" t="s">
        <v>32</v>
      </c>
      <c r="C204" s="93">
        <v>2220</v>
      </c>
      <c r="D204" s="81">
        <f>10434+4800+10542.71</f>
        <v>25776.71</v>
      </c>
      <c r="E204" s="27" t="s">
        <v>15</v>
      </c>
      <c r="F204" s="93"/>
      <c r="G204" s="67"/>
      <c r="H204" s="81"/>
      <c r="I204" s="82" t="s">
        <v>172</v>
      </c>
    </row>
    <row r="205" spans="1:9" ht="25.5">
      <c r="A205" s="71" t="s">
        <v>50</v>
      </c>
      <c r="B205" s="94" t="s">
        <v>133</v>
      </c>
      <c r="C205" s="93">
        <v>2220</v>
      </c>
      <c r="D205" s="81">
        <f>5000+5000+229.5</f>
        <v>10229.5</v>
      </c>
      <c r="E205" s="27" t="s">
        <v>15</v>
      </c>
      <c r="F205" s="93"/>
      <c r="G205" s="67"/>
      <c r="H205" s="81"/>
      <c r="I205" s="82" t="s">
        <v>172</v>
      </c>
    </row>
    <row r="206" spans="1:9" ht="38.25">
      <c r="A206" s="42" t="s">
        <v>45</v>
      </c>
      <c r="B206" s="44" t="s">
        <v>46</v>
      </c>
      <c r="C206" s="37">
        <v>2220</v>
      </c>
      <c r="D206" s="21">
        <f>2528.9+4687.12+4752.51</f>
        <v>11968.53</v>
      </c>
      <c r="E206" s="27" t="s">
        <v>15</v>
      </c>
      <c r="F206" s="37"/>
      <c r="G206" s="67"/>
      <c r="H206" s="21"/>
      <c r="I206" s="63" t="s">
        <v>172</v>
      </c>
    </row>
    <row r="207" spans="1:9" ht="22.5">
      <c r="A207" s="51" t="s">
        <v>90</v>
      </c>
      <c r="B207" s="52" t="s">
        <v>91</v>
      </c>
      <c r="C207" s="27">
        <v>2230</v>
      </c>
      <c r="D207" s="53">
        <v>495.98</v>
      </c>
      <c r="E207" s="27"/>
      <c r="F207" s="27" t="s">
        <v>127</v>
      </c>
      <c r="G207" s="28"/>
      <c r="H207" s="53"/>
      <c r="I207" s="63" t="s">
        <v>172</v>
      </c>
    </row>
    <row r="208" spans="1:9" ht="22.5">
      <c r="A208" s="54" t="s">
        <v>78</v>
      </c>
      <c r="B208" s="55" t="s">
        <v>79</v>
      </c>
      <c r="C208" s="27">
        <v>2230</v>
      </c>
      <c r="D208" s="53">
        <v>30960</v>
      </c>
      <c r="E208" s="27"/>
      <c r="F208" s="27" t="s">
        <v>127</v>
      </c>
      <c r="G208" s="67"/>
      <c r="H208" s="53"/>
      <c r="I208" s="63" t="s">
        <v>172</v>
      </c>
    </row>
    <row r="209" spans="1:9" ht="47.25">
      <c r="A209" s="51" t="s">
        <v>70</v>
      </c>
      <c r="B209" s="56" t="s">
        <v>71</v>
      </c>
      <c r="C209" s="27">
        <v>2230</v>
      </c>
      <c r="D209" s="53">
        <v>36328.02</v>
      </c>
      <c r="E209" s="27"/>
      <c r="F209" s="27" t="s">
        <v>127</v>
      </c>
      <c r="G209" s="67"/>
      <c r="H209" s="53"/>
      <c r="I209" s="63" t="s">
        <v>172</v>
      </c>
    </row>
    <row r="210" spans="1:9" ht="31.5">
      <c r="A210" s="35" t="s">
        <v>62</v>
      </c>
      <c r="B210" s="36" t="s">
        <v>63</v>
      </c>
      <c r="C210" s="37">
        <v>2230</v>
      </c>
      <c r="D210" s="21">
        <f>85.2+0.88</f>
        <v>86.08</v>
      </c>
      <c r="E210" s="27" t="s">
        <v>15</v>
      </c>
      <c r="F210" s="37"/>
      <c r="G210" s="67"/>
      <c r="H210" s="21"/>
      <c r="I210" s="63" t="s">
        <v>172</v>
      </c>
    </row>
    <row r="211" spans="1:9" ht="31.5">
      <c r="A211" s="35" t="s">
        <v>84</v>
      </c>
      <c r="B211" s="36" t="s">
        <v>85</v>
      </c>
      <c r="C211" s="37">
        <v>2230</v>
      </c>
      <c r="D211" s="21">
        <v>7888.92</v>
      </c>
      <c r="E211" s="27" t="s">
        <v>15</v>
      </c>
      <c r="F211" s="37"/>
      <c r="G211" s="28" t="s">
        <v>20</v>
      </c>
      <c r="H211" s="21"/>
      <c r="I211" s="63" t="s">
        <v>172</v>
      </c>
    </row>
    <row r="212" spans="1:9" ht="22.5">
      <c r="A212" s="35" t="s">
        <v>80</v>
      </c>
      <c r="B212" s="65" t="s">
        <v>223</v>
      </c>
      <c r="C212" s="37">
        <v>2230</v>
      </c>
      <c r="D212" s="21">
        <v>2420</v>
      </c>
      <c r="E212" s="27" t="s">
        <v>15</v>
      </c>
      <c r="F212" s="37"/>
      <c r="G212" s="67"/>
      <c r="H212" s="21"/>
      <c r="I212" s="63" t="s">
        <v>172</v>
      </c>
    </row>
    <row r="213" spans="1:9" ht="22.5">
      <c r="A213" s="35" t="s">
        <v>54</v>
      </c>
      <c r="B213" s="65" t="s">
        <v>55</v>
      </c>
      <c r="C213" s="37">
        <v>2230</v>
      </c>
      <c r="D213" s="53">
        <v>33365.25</v>
      </c>
      <c r="E213" s="27"/>
      <c r="F213" s="37" t="s">
        <v>127</v>
      </c>
      <c r="G213" s="67"/>
      <c r="H213" s="53"/>
      <c r="I213" s="63" t="s">
        <v>172</v>
      </c>
    </row>
    <row r="214" spans="1:9" ht="47.25">
      <c r="A214" s="35" t="s">
        <v>88</v>
      </c>
      <c r="B214" s="52" t="s">
        <v>143</v>
      </c>
      <c r="C214" s="37">
        <v>2230</v>
      </c>
      <c r="D214" s="53">
        <v>26761.75</v>
      </c>
      <c r="E214" s="27"/>
      <c r="F214" s="37" t="s">
        <v>127</v>
      </c>
      <c r="G214" s="67"/>
      <c r="H214" s="53"/>
      <c r="I214" s="63" t="s">
        <v>172</v>
      </c>
    </row>
    <row r="215" spans="1:9" ht="31.5">
      <c r="A215" s="35" t="s">
        <v>96</v>
      </c>
      <c r="B215" s="36" t="s">
        <v>97</v>
      </c>
      <c r="C215" s="37">
        <v>2230</v>
      </c>
      <c r="D215" s="53">
        <f>12700+660</f>
        <v>13360</v>
      </c>
      <c r="E215" s="27"/>
      <c r="F215" s="37" t="s">
        <v>127</v>
      </c>
      <c r="G215" s="67"/>
      <c r="H215" s="53"/>
      <c r="I215" s="63" t="s">
        <v>172</v>
      </c>
    </row>
    <row r="216" spans="1:9" ht="22.5">
      <c r="A216" s="35" t="s">
        <v>66</v>
      </c>
      <c r="B216" s="65" t="s">
        <v>67</v>
      </c>
      <c r="C216" s="37">
        <v>2230</v>
      </c>
      <c r="D216" s="53">
        <v>12090</v>
      </c>
      <c r="E216" s="27"/>
      <c r="F216" s="37" t="s">
        <v>127</v>
      </c>
      <c r="G216" s="67"/>
      <c r="H216" s="53"/>
      <c r="I216" s="63" t="s">
        <v>172</v>
      </c>
    </row>
    <row r="217" spans="1:9" ht="47.25">
      <c r="A217" s="35" t="s">
        <v>74</v>
      </c>
      <c r="B217" s="36" t="s">
        <v>75</v>
      </c>
      <c r="C217" s="37">
        <v>2230</v>
      </c>
      <c r="D217" s="21">
        <v>896</v>
      </c>
      <c r="E217" s="27" t="s">
        <v>15</v>
      </c>
      <c r="F217" s="37"/>
      <c r="G217" s="67"/>
      <c r="H217" s="21"/>
      <c r="I217" s="63" t="s">
        <v>172</v>
      </c>
    </row>
    <row r="218" spans="1:9" ht="22.5">
      <c r="A218" s="25" t="s">
        <v>54</v>
      </c>
      <c r="B218" s="62" t="s">
        <v>55</v>
      </c>
      <c r="C218" s="37">
        <v>2230</v>
      </c>
      <c r="D218" s="21">
        <f>5000+5000+2705.5+22309.5</f>
        <v>35015</v>
      </c>
      <c r="E218" s="27" t="s">
        <v>15</v>
      </c>
      <c r="F218" s="37"/>
      <c r="G218" s="28" t="s">
        <v>20</v>
      </c>
      <c r="H218" s="21"/>
      <c r="I218" s="63" t="s">
        <v>172</v>
      </c>
    </row>
    <row r="219" spans="1:9" ht="38.25">
      <c r="A219" s="95" t="s">
        <v>156</v>
      </c>
      <c r="B219" s="96" t="s">
        <v>224</v>
      </c>
      <c r="C219" s="80">
        <v>2240</v>
      </c>
      <c r="D219" s="81">
        <f>2094.84+1904.4+1904.4+2877.16+1809.18+3904.02+1904.4+380.88+1333.08+4189.68</f>
        <v>22302.04</v>
      </c>
      <c r="E219" s="27" t="s">
        <v>15</v>
      </c>
      <c r="F219" s="80" t="s">
        <v>110</v>
      </c>
      <c r="G219" s="67" t="s">
        <v>144</v>
      </c>
      <c r="H219" s="81">
        <v>4189.68</v>
      </c>
      <c r="I219" s="82" t="s">
        <v>172</v>
      </c>
    </row>
    <row r="220" spans="1:9" ht="63">
      <c r="A220" s="95" t="s">
        <v>225</v>
      </c>
      <c r="B220" s="97" t="s">
        <v>226</v>
      </c>
      <c r="C220" s="80">
        <v>2240</v>
      </c>
      <c r="D220" s="81">
        <f>1800+2500+2881.38</f>
        <v>7181.38</v>
      </c>
      <c r="E220" s="27" t="s">
        <v>15</v>
      </c>
      <c r="F220" s="80"/>
      <c r="G220" s="67"/>
      <c r="H220" s="81"/>
      <c r="I220" s="82" t="s">
        <v>172</v>
      </c>
    </row>
    <row r="221" spans="1:9" ht="38.25">
      <c r="A221" s="95" t="s">
        <v>100</v>
      </c>
      <c r="B221" s="96" t="s">
        <v>227</v>
      </c>
      <c r="C221" s="80">
        <v>2240</v>
      </c>
      <c r="D221" s="81">
        <f>600+3240+2080</f>
        <v>5920</v>
      </c>
      <c r="E221" s="27" t="s">
        <v>15</v>
      </c>
      <c r="F221" s="80"/>
      <c r="G221" s="67"/>
      <c r="H221" s="81"/>
      <c r="I221" s="82" t="s">
        <v>172</v>
      </c>
    </row>
    <row r="222" spans="1:9" ht="51">
      <c r="A222" s="78" t="s">
        <v>98</v>
      </c>
      <c r="B222" s="88" t="s">
        <v>228</v>
      </c>
      <c r="C222" s="80">
        <v>2240</v>
      </c>
      <c r="D222" s="81">
        <f>4280+5109.52+2897.93+9020+1533.98+3108+2820+1240+3540+4824.43+1670.64</f>
        <v>40044.5</v>
      </c>
      <c r="E222" s="27" t="s">
        <v>15</v>
      </c>
      <c r="F222" s="80" t="s">
        <v>110</v>
      </c>
      <c r="G222" s="67" t="s">
        <v>144</v>
      </c>
      <c r="H222" s="81">
        <f>4824.43+1670.64</f>
        <v>6495.070000000001</v>
      </c>
      <c r="I222" s="82" t="s">
        <v>172</v>
      </c>
    </row>
    <row r="223" spans="1:9" ht="51">
      <c r="A223" s="42" t="s">
        <v>102</v>
      </c>
      <c r="B223" s="44" t="s">
        <v>229</v>
      </c>
      <c r="C223" s="37">
        <v>2240</v>
      </c>
      <c r="D223" s="21">
        <f>2507.1+463.08</f>
        <v>2970.18</v>
      </c>
      <c r="E223" s="27" t="s">
        <v>15</v>
      </c>
      <c r="F223" s="37"/>
      <c r="G223" s="67"/>
      <c r="H223" s="21"/>
      <c r="I223" s="63" t="s">
        <v>172</v>
      </c>
    </row>
    <row r="224" spans="1:9" ht="47.25">
      <c r="A224" s="25" t="s">
        <v>112</v>
      </c>
      <c r="B224" s="26" t="s">
        <v>113</v>
      </c>
      <c r="C224" s="37">
        <v>2240</v>
      </c>
      <c r="D224" s="21">
        <f>6832.21+9760.3+3133.57+6678.1+3339.05+3595.9-281.68+972.9</f>
        <v>34030.35</v>
      </c>
      <c r="E224" s="27" t="s">
        <v>15</v>
      </c>
      <c r="F224" s="37" t="s">
        <v>110</v>
      </c>
      <c r="G224" s="67" t="s">
        <v>144</v>
      </c>
      <c r="H224" s="21">
        <v>972.9</v>
      </c>
      <c r="I224" s="63" t="s">
        <v>172</v>
      </c>
    </row>
    <row r="225" spans="1:9" ht="76.5">
      <c r="A225" s="71" t="s">
        <v>100</v>
      </c>
      <c r="B225" s="72" t="s">
        <v>101</v>
      </c>
      <c r="C225" s="80">
        <v>2240</v>
      </c>
      <c r="D225" s="81">
        <f>5570.76+5570.75+3713.84+1856.92</f>
        <v>16712.27</v>
      </c>
      <c r="E225" s="27" t="s">
        <v>15</v>
      </c>
      <c r="F225" s="80"/>
      <c r="G225" s="67"/>
      <c r="H225" s="81"/>
      <c r="I225" s="82" t="s">
        <v>172</v>
      </c>
    </row>
    <row r="226" spans="1:9" ht="25.5">
      <c r="A226" s="71" t="s">
        <v>230</v>
      </c>
      <c r="B226" s="72" t="s">
        <v>231</v>
      </c>
      <c r="C226" s="80">
        <v>2240</v>
      </c>
      <c r="D226" s="81">
        <f>4200+2240.7+3339.05</f>
        <v>9779.75</v>
      </c>
      <c r="E226" s="27" t="s">
        <v>15</v>
      </c>
      <c r="F226" s="80"/>
      <c r="G226" s="67"/>
      <c r="H226" s="81"/>
      <c r="I226" s="82" t="s">
        <v>172</v>
      </c>
    </row>
    <row r="227" spans="1:9" ht="31.5">
      <c r="A227" s="25" t="s">
        <v>154</v>
      </c>
      <c r="B227" s="31" t="s">
        <v>155</v>
      </c>
      <c r="C227" s="37">
        <v>2240</v>
      </c>
      <c r="D227" s="21">
        <f>3345.12+1183.2+1584+2500+11374.92+2940.49+2728.88</f>
        <v>25656.609999999997</v>
      </c>
      <c r="E227" s="27" t="s">
        <v>15</v>
      </c>
      <c r="F227" s="37"/>
      <c r="G227" s="67"/>
      <c r="H227" s="21"/>
      <c r="I227" s="63" t="s">
        <v>172</v>
      </c>
    </row>
    <row r="228" spans="1:9" ht="31.5">
      <c r="A228" s="98" t="s">
        <v>156</v>
      </c>
      <c r="B228" s="99" t="s">
        <v>157</v>
      </c>
      <c r="C228" s="37">
        <v>2240</v>
      </c>
      <c r="D228" s="21">
        <f>887.65+365+1089.54+2075+2179.08</f>
        <v>6596.27</v>
      </c>
      <c r="E228" s="27" t="s">
        <v>15</v>
      </c>
      <c r="F228" s="37"/>
      <c r="G228" s="28"/>
      <c r="H228" s="21"/>
      <c r="I228" s="63" t="s">
        <v>172</v>
      </c>
    </row>
    <row r="229" spans="1:9" ht="31.5">
      <c r="A229" s="25" t="s">
        <v>232</v>
      </c>
      <c r="B229" s="31" t="s">
        <v>233</v>
      </c>
      <c r="C229" s="37">
        <v>2240</v>
      </c>
      <c r="D229" s="21">
        <f>1560+3120</f>
        <v>4680</v>
      </c>
      <c r="E229" s="27" t="s">
        <v>15</v>
      </c>
      <c r="F229" s="37" t="s">
        <v>110</v>
      </c>
      <c r="G229" s="28" t="s">
        <v>144</v>
      </c>
      <c r="H229" s="21">
        <v>3120</v>
      </c>
      <c r="I229" s="63" t="s">
        <v>172</v>
      </c>
    </row>
    <row r="230" spans="1:9" ht="47.25">
      <c r="A230" s="25" t="s">
        <v>234</v>
      </c>
      <c r="B230" s="31" t="s">
        <v>235</v>
      </c>
      <c r="C230" s="37">
        <v>2240</v>
      </c>
      <c r="D230" s="21">
        <v>2652</v>
      </c>
      <c r="E230" s="27" t="s">
        <v>15</v>
      </c>
      <c r="F230" s="37"/>
      <c r="G230" s="28"/>
      <c r="H230" s="21"/>
      <c r="I230" s="63" t="s">
        <v>172</v>
      </c>
    </row>
    <row r="231" spans="1:9" ht="31.5">
      <c r="A231" s="57" t="s">
        <v>128</v>
      </c>
      <c r="B231" s="58" t="s">
        <v>129</v>
      </c>
      <c r="C231" s="37">
        <v>2240</v>
      </c>
      <c r="D231" s="21">
        <f>4320+1500+4320+276.46+4320</f>
        <v>14736.46</v>
      </c>
      <c r="E231" s="27" t="s">
        <v>15</v>
      </c>
      <c r="F231" s="37"/>
      <c r="G231" s="67"/>
      <c r="H231" s="21"/>
      <c r="I231" s="63" t="s">
        <v>172</v>
      </c>
    </row>
    <row r="232" spans="1:9" ht="38.25">
      <c r="A232" s="100" t="s">
        <v>150</v>
      </c>
      <c r="B232" s="101" t="s">
        <v>236</v>
      </c>
      <c r="C232" s="80">
        <v>2240</v>
      </c>
      <c r="D232" s="81">
        <f>3300+3350.26+3300+3300</f>
        <v>13250.26</v>
      </c>
      <c r="E232" s="27" t="s">
        <v>15</v>
      </c>
      <c r="F232" s="80"/>
      <c r="G232" s="28"/>
      <c r="H232" s="81"/>
      <c r="I232" s="82" t="s">
        <v>172</v>
      </c>
    </row>
    <row r="233" spans="1:9" ht="22.5">
      <c r="A233" s="25" t="s">
        <v>237</v>
      </c>
      <c r="B233" s="31" t="s">
        <v>238</v>
      </c>
      <c r="C233" s="37">
        <v>2240</v>
      </c>
      <c r="D233" s="21">
        <v>4800</v>
      </c>
      <c r="E233" s="27" t="s">
        <v>15</v>
      </c>
      <c r="F233" s="37"/>
      <c r="G233" s="28"/>
      <c r="H233" s="21"/>
      <c r="I233" s="63" t="s">
        <v>172</v>
      </c>
    </row>
    <row r="234" spans="1:9" ht="47.25">
      <c r="A234" s="25" t="s">
        <v>239</v>
      </c>
      <c r="B234" s="31" t="s">
        <v>240</v>
      </c>
      <c r="C234" s="37">
        <v>2240</v>
      </c>
      <c r="D234" s="21">
        <v>4542.41</v>
      </c>
      <c r="E234" s="27" t="s">
        <v>15</v>
      </c>
      <c r="F234" s="37"/>
      <c r="G234" s="28"/>
      <c r="H234" s="21"/>
      <c r="I234" s="63" t="s">
        <v>172</v>
      </c>
    </row>
    <row r="235" spans="1:9" ht="22.5">
      <c r="A235" s="25" t="s">
        <v>241</v>
      </c>
      <c r="B235" s="31" t="s">
        <v>242</v>
      </c>
      <c r="C235" s="37">
        <v>2240</v>
      </c>
      <c r="D235" s="21">
        <v>936</v>
      </c>
      <c r="E235" s="27" t="s">
        <v>15</v>
      </c>
      <c r="F235" s="37"/>
      <c r="G235" s="28"/>
      <c r="H235" s="21"/>
      <c r="I235" s="63" t="s">
        <v>172</v>
      </c>
    </row>
    <row r="236" spans="1:9" ht="31.5">
      <c r="A236" s="57" t="s">
        <v>148</v>
      </c>
      <c r="B236" s="58" t="s">
        <v>149</v>
      </c>
      <c r="C236" s="37">
        <v>2240</v>
      </c>
      <c r="D236" s="21">
        <v>585</v>
      </c>
      <c r="E236" s="27" t="s">
        <v>15</v>
      </c>
      <c r="F236" s="37"/>
      <c r="G236" s="28"/>
      <c r="H236" s="21"/>
      <c r="I236" s="63" t="s">
        <v>172</v>
      </c>
    </row>
    <row r="237" spans="1:9" ht="47.25">
      <c r="A237" s="57" t="s">
        <v>152</v>
      </c>
      <c r="B237" s="58" t="s">
        <v>153</v>
      </c>
      <c r="C237" s="37">
        <v>2240</v>
      </c>
      <c r="D237" s="21">
        <v>1500</v>
      </c>
      <c r="E237" s="27" t="s">
        <v>15</v>
      </c>
      <c r="F237" s="37" t="s">
        <v>124</v>
      </c>
      <c r="G237" s="28"/>
      <c r="H237" s="21"/>
      <c r="I237" s="63" t="s">
        <v>172</v>
      </c>
    </row>
    <row r="238" spans="1:9" ht="31.5">
      <c r="A238" s="30" t="s">
        <v>158</v>
      </c>
      <c r="B238" s="31" t="s">
        <v>159</v>
      </c>
      <c r="C238" s="37">
        <v>2240</v>
      </c>
      <c r="D238" s="21">
        <f>4626.17+3544.43</f>
        <v>8170.6</v>
      </c>
      <c r="E238" s="27" t="s">
        <v>15</v>
      </c>
      <c r="F238" s="37" t="s">
        <v>110</v>
      </c>
      <c r="G238" s="28" t="s">
        <v>144</v>
      </c>
      <c r="H238" s="21">
        <v>3544.43</v>
      </c>
      <c r="I238" s="63" t="s">
        <v>172</v>
      </c>
    </row>
    <row r="239" spans="1:9" ht="47.25">
      <c r="A239" s="25" t="s">
        <v>243</v>
      </c>
      <c r="B239" s="31" t="s">
        <v>244</v>
      </c>
      <c r="C239" s="37">
        <v>2240</v>
      </c>
      <c r="D239" s="21">
        <v>440</v>
      </c>
      <c r="E239" s="27" t="s">
        <v>15</v>
      </c>
      <c r="F239" s="37"/>
      <c r="G239" s="28"/>
      <c r="H239" s="21"/>
      <c r="I239" s="63" t="s">
        <v>172</v>
      </c>
    </row>
    <row r="240" spans="1:9" ht="31.5">
      <c r="A240" s="22" t="s">
        <v>106</v>
      </c>
      <c r="B240" s="45" t="s">
        <v>107</v>
      </c>
      <c r="C240" s="22">
        <v>2272</v>
      </c>
      <c r="D240" s="21">
        <v>10221.55</v>
      </c>
      <c r="E240" s="27" t="s">
        <v>15</v>
      </c>
      <c r="F240" s="22" t="s">
        <v>124</v>
      </c>
      <c r="G240" s="28"/>
      <c r="H240" s="21"/>
      <c r="I240" s="63" t="s">
        <v>172</v>
      </c>
    </row>
    <row r="241" spans="1:9" ht="22.5">
      <c r="A241" s="42" t="s">
        <v>245</v>
      </c>
      <c r="B241" s="43" t="s">
        <v>246</v>
      </c>
      <c r="C241" s="37">
        <v>2282</v>
      </c>
      <c r="D241" s="21">
        <f>1728.42+3000+556+1508+276+585-585+0.58</f>
        <v>7069</v>
      </c>
      <c r="E241" s="27" t="s">
        <v>15</v>
      </c>
      <c r="F241" s="37"/>
      <c r="G241" s="67"/>
      <c r="H241" s="81"/>
      <c r="I241" s="63" t="s">
        <v>172</v>
      </c>
    </row>
    <row r="242" spans="1:9" ht="22.5">
      <c r="A242" s="42"/>
      <c r="B242" s="43" t="s">
        <v>249</v>
      </c>
      <c r="C242" s="37">
        <v>3132</v>
      </c>
      <c r="D242" s="21">
        <v>16955.07</v>
      </c>
      <c r="E242" s="27"/>
      <c r="F242" s="37"/>
      <c r="G242" s="102" t="s">
        <v>247</v>
      </c>
      <c r="H242" s="21">
        <v>16955.07</v>
      </c>
      <c r="I242" s="63" t="s">
        <v>248</v>
      </c>
    </row>
    <row r="243" spans="1:9" ht="31.5">
      <c r="A243" s="42"/>
      <c r="B243" s="43" t="s">
        <v>250</v>
      </c>
      <c r="C243" s="37">
        <v>3132</v>
      </c>
      <c r="D243" s="21">
        <f>33951.6+12983.02</f>
        <v>46934.619999999995</v>
      </c>
      <c r="E243" s="27"/>
      <c r="F243" s="37"/>
      <c r="G243" s="102" t="s">
        <v>247</v>
      </c>
      <c r="H243" s="21">
        <f>33951.6+12983.02</f>
        <v>46934.619999999995</v>
      </c>
      <c r="I243" s="63" t="s">
        <v>248</v>
      </c>
    </row>
    <row r="244" spans="1:9" ht="31.5">
      <c r="A244" s="42"/>
      <c r="B244" s="43" t="s">
        <v>251</v>
      </c>
      <c r="C244" s="37">
        <v>3132</v>
      </c>
      <c r="D244" s="21">
        <f>33930+374602</f>
        <v>408532</v>
      </c>
      <c r="E244" s="27"/>
      <c r="F244" s="37"/>
      <c r="G244" s="102" t="s">
        <v>247</v>
      </c>
      <c r="H244" s="21">
        <f>33930+374602</f>
        <v>408532</v>
      </c>
      <c r="I244" s="63" t="s">
        <v>248</v>
      </c>
    </row>
    <row r="245" spans="1:9" ht="31.5">
      <c r="A245" s="42"/>
      <c r="B245" s="43" t="s">
        <v>252</v>
      </c>
      <c r="C245" s="37">
        <v>3132</v>
      </c>
      <c r="D245" s="21">
        <v>21468</v>
      </c>
      <c r="E245" s="27"/>
      <c r="F245" s="37"/>
      <c r="G245" s="102" t="s">
        <v>247</v>
      </c>
      <c r="H245" s="21">
        <v>21468</v>
      </c>
      <c r="I245" s="63" t="s">
        <v>248</v>
      </c>
    </row>
    <row r="246" spans="1:9" ht="31.5">
      <c r="A246" s="83" t="s">
        <v>104</v>
      </c>
      <c r="B246" s="84" t="s">
        <v>105</v>
      </c>
      <c r="C246" s="80">
        <v>2271</v>
      </c>
      <c r="D246" s="81">
        <f>18134+15179+14252+28941+15232-15232.27+0.27</f>
        <v>76506</v>
      </c>
      <c r="E246" s="27" t="s">
        <v>15</v>
      </c>
      <c r="F246" s="80"/>
      <c r="G246" s="67"/>
      <c r="H246" s="81"/>
      <c r="I246" s="82" t="s">
        <v>172</v>
      </c>
    </row>
    <row r="247" spans="1:9" ht="31.5">
      <c r="A247" s="22" t="s">
        <v>114</v>
      </c>
      <c r="B247" s="45" t="s">
        <v>115</v>
      </c>
      <c r="C247" s="80">
        <v>2272</v>
      </c>
      <c r="D247" s="81">
        <v>10055.45</v>
      </c>
      <c r="E247" s="27" t="s">
        <v>15</v>
      </c>
      <c r="F247" s="80" t="s">
        <v>124</v>
      </c>
      <c r="G247" s="67"/>
      <c r="H247" s="81"/>
      <c r="I247" s="82" t="s">
        <v>172</v>
      </c>
    </row>
    <row r="248" spans="1:9" ht="24" customHeight="1">
      <c r="A248" s="30"/>
      <c r="B248" s="31" t="s">
        <v>253</v>
      </c>
      <c r="C248" s="80">
        <v>2240</v>
      </c>
      <c r="D248" s="81">
        <v>15000</v>
      </c>
      <c r="E248" s="27" t="s">
        <v>15</v>
      </c>
      <c r="F248" s="80"/>
      <c r="G248" s="67"/>
      <c r="H248" s="81"/>
      <c r="I248" s="82" t="s">
        <v>172</v>
      </c>
    </row>
    <row r="249" spans="1:9" ht="24" customHeight="1">
      <c r="A249" s="30" t="s">
        <v>254</v>
      </c>
      <c r="B249" s="31" t="s">
        <v>255</v>
      </c>
      <c r="C249" s="80">
        <v>2210</v>
      </c>
      <c r="D249" s="81">
        <v>57</v>
      </c>
      <c r="E249" s="27" t="s">
        <v>15</v>
      </c>
      <c r="F249" s="80"/>
      <c r="G249" s="67"/>
      <c r="H249" s="81"/>
      <c r="I249" s="82" t="s">
        <v>172</v>
      </c>
    </row>
    <row r="250" spans="1:9" ht="27.75" customHeight="1">
      <c r="A250" s="30" t="s">
        <v>256</v>
      </c>
      <c r="B250" s="31" t="s">
        <v>257</v>
      </c>
      <c r="C250" s="80">
        <v>2210</v>
      </c>
      <c r="D250" s="81">
        <v>105.6</v>
      </c>
      <c r="E250" s="27" t="s">
        <v>15</v>
      </c>
      <c r="F250" s="80"/>
      <c r="G250" s="67"/>
      <c r="H250" s="81"/>
      <c r="I250" s="82" t="s">
        <v>172</v>
      </c>
    </row>
    <row r="251" spans="1:9" ht="24" customHeight="1">
      <c r="A251" s="30" t="s">
        <v>258</v>
      </c>
      <c r="B251" s="31" t="s">
        <v>259</v>
      </c>
      <c r="C251" s="80">
        <v>2210</v>
      </c>
      <c r="D251" s="81">
        <v>20.4</v>
      </c>
      <c r="E251" s="27" t="s">
        <v>15</v>
      </c>
      <c r="F251" s="80"/>
      <c r="G251" s="67"/>
      <c r="H251" s="81"/>
      <c r="I251" s="82" t="s">
        <v>172</v>
      </c>
    </row>
    <row r="252" spans="1:9" ht="33.75" customHeight="1">
      <c r="A252" s="30" t="s">
        <v>164</v>
      </c>
      <c r="B252" s="31" t="s">
        <v>165</v>
      </c>
      <c r="C252" s="80">
        <v>2220</v>
      </c>
      <c r="D252" s="81">
        <v>90</v>
      </c>
      <c r="E252" s="27" t="s">
        <v>15</v>
      </c>
      <c r="F252" s="80"/>
      <c r="G252" s="28"/>
      <c r="H252" s="81"/>
      <c r="I252" s="82" t="s">
        <v>172</v>
      </c>
    </row>
    <row r="253" spans="1:9" ht="7.5" customHeight="1">
      <c r="A253" s="19"/>
      <c r="B253" s="103"/>
      <c r="C253" s="104"/>
      <c r="D253" s="105">
        <v>1</v>
      </c>
      <c r="E253" s="104"/>
      <c r="F253" s="104"/>
      <c r="G253" s="106"/>
      <c r="H253" s="66"/>
      <c r="I253" s="107"/>
    </row>
    <row r="254" spans="1:9" ht="15.75">
      <c r="A254" s="108"/>
      <c r="B254" s="109" t="s">
        <v>260</v>
      </c>
      <c r="C254" s="109"/>
      <c r="D254" s="105">
        <v>1</v>
      </c>
      <c r="E254" s="109"/>
      <c r="F254" s="109"/>
      <c r="G254" s="110"/>
      <c r="H254" s="108">
        <v>1</v>
      </c>
      <c r="I254" s="111"/>
    </row>
    <row r="255" spans="1:8" ht="15.75">
      <c r="A255" s="112"/>
      <c r="B255" s="109" t="s">
        <v>261</v>
      </c>
      <c r="C255" s="109"/>
      <c r="D255" s="113">
        <v>1</v>
      </c>
      <c r="E255" s="6" t="s">
        <v>262</v>
      </c>
      <c r="F255" s="109"/>
      <c r="G255" s="110"/>
      <c r="H255" s="112">
        <v>1</v>
      </c>
    </row>
    <row r="256" spans="1:8" ht="15.75">
      <c r="A256" s="112"/>
      <c r="B256" s="114" t="s">
        <v>263</v>
      </c>
      <c r="C256" s="115"/>
      <c r="D256" s="116">
        <v>1</v>
      </c>
      <c r="E256" s="6"/>
      <c r="F256" s="115"/>
      <c r="G256" s="110"/>
      <c r="H256" s="112">
        <v>1</v>
      </c>
    </row>
    <row r="257" spans="1:8" ht="31.5" customHeight="1">
      <c r="A257" s="112"/>
      <c r="B257" s="117" t="s">
        <v>264</v>
      </c>
      <c r="C257" s="117"/>
      <c r="D257" s="113">
        <v>1</v>
      </c>
      <c r="E257" s="6" t="s">
        <v>265</v>
      </c>
      <c r="F257" s="117"/>
      <c r="G257" s="110"/>
      <c r="H257" s="112">
        <v>1</v>
      </c>
    </row>
    <row r="258" spans="1:9" ht="15.75">
      <c r="A258" s="118" t="s">
        <v>266</v>
      </c>
      <c r="C258" s="118"/>
      <c r="D258" s="119">
        <v>1</v>
      </c>
      <c r="E258" s="118"/>
      <c r="F258" s="118"/>
      <c r="G258" s="110"/>
      <c r="H258" s="112">
        <v>1</v>
      </c>
      <c r="I258" s="111"/>
    </row>
    <row r="259" spans="1:8" ht="15.75">
      <c r="A259" s="112"/>
      <c r="B259" s="117" t="s">
        <v>267</v>
      </c>
      <c r="C259" s="117"/>
      <c r="D259" s="116">
        <v>1</v>
      </c>
      <c r="E259" s="117"/>
      <c r="F259" s="117"/>
      <c r="G259" s="110"/>
      <c r="H259" s="112">
        <v>1</v>
      </c>
    </row>
  </sheetData>
  <sheetProtection/>
  <mergeCells count="10">
    <mergeCell ref="A9:B9"/>
    <mergeCell ref="G9:I9"/>
    <mergeCell ref="A4:G4"/>
    <mergeCell ref="A5:G5"/>
    <mergeCell ref="A7:B8"/>
    <mergeCell ref="C7:C8"/>
    <mergeCell ref="D7:D8"/>
    <mergeCell ref="E7:E8"/>
    <mergeCell ref="F7:F8"/>
    <mergeCell ref="G7:I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nata</cp:lastModifiedBy>
  <dcterms:created xsi:type="dcterms:W3CDTF">2014-12-29T07:54:03Z</dcterms:created>
  <dcterms:modified xsi:type="dcterms:W3CDTF">2014-12-31T09:17:39Z</dcterms:modified>
  <cp:category/>
  <cp:version/>
  <cp:contentType/>
  <cp:contentStatus/>
</cp:coreProperties>
</file>